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2 года\Проект бюджета ЧМР на 2022-2024 (№00-НПА от 00.12.2021)\"/>
    </mc:Choice>
  </mc:AlternateContent>
  <bookViews>
    <workbookView xWindow="0" yWindow="0" windowWidth="23040" windowHeight="9120"/>
  </bookViews>
  <sheets>
    <sheet name="На Думу" sheetId="2" r:id="rId1"/>
  </sheets>
  <definedNames>
    <definedName name="_xlnm.Print_Titles" localSheetId="0">'На Думу'!$10:$10</definedName>
  </definedNames>
  <calcPr calcId="152511"/>
</workbook>
</file>

<file path=xl/calcChain.xml><?xml version="1.0" encoding="utf-8"?>
<calcChain xmlns="http://schemas.openxmlformats.org/spreadsheetml/2006/main">
  <c r="D23" i="2" l="1"/>
  <c r="C23" i="2"/>
  <c r="C13" i="2"/>
  <c r="D14" i="2"/>
  <c r="D16" i="2"/>
  <c r="C14" i="2"/>
  <c r="D227" i="2" l="1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1" i="2"/>
  <c r="D210" i="2"/>
  <c r="D209" i="2"/>
  <c r="D208" i="2"/>
  <c r="D206" i="2"/>
  <c r="D204" i="2"/>
  <c r="D203" i="2"/>
  <c r="D202" i="2"/>
  <c r="D200" i="2"/>
  <c r="D198" i="2"/>
  <c r="D197" i="2"/>
  <c r="D196" i="2"/>
  <c r="D195" i="2"/>
  <c r="D194" i="2"/>
  <c r="D191" i="2"/>
  <c r="D188" i="2"/>
  <c r="D185" i="2"/>
  <c r="D182" i="2"/>
  <c r="D179" i="2"/>
  <c r="D176" i="2"/>
  <c r="D173" i="2"/>
  <c r="D170" i="2"/>
  <c r="D167" i="2"/>
  <c r="D163" i="2"/>
  <c r="D160" i="2"/>
  <c r="D159" i="2"/>
  <c r="D157" i="2"/>
  <c r="D147" i="2"/>
  <c r="D145" i="2"/>
  <c r="D137" i="2"/>
  <c r="D134" i="2"/>
  <c r="D133" i="2"/>
  <c r="D126" i="2"/>
  <c r="D125" i="2"/>
  <c r="D121" i="2"/>
  <c r="D120" i="2"/>
  <c r="D119" i="2"/>
  <c r="D116" i="2"/>
  <c r="D114" i="2"/>
  <c r="D113" i="2"/>
  <c r="D110" i="2"/>
  <c r="D107" i="2"/>
  <c r="D104" i="2"/>
  <c r="D93" i="2"/>
  <c r="D86" i="2"/>
  <c r="D84" i="2"/>
  <c r="D83" i="2"/>
  <c r="D80" i="2"/>
  <c r="D78" i="2"/>
  <c r="D77" i="2"/>
  <c r="D74" i="2"/>
  <c r="D73" i="2"/>
  <c r="D72" i="2"/>
  <c r="D67" i="2"/>
  <c r="D66" i="2"/>
  <c r="D64" i="2"/>
  <c r="D61" i="2"/>
  <c r="D58" i="2"/>
  <c r="D55" i="2"/>
  <c r="D53" i="2"/>
  <c r="D52" i="2"/>
  <c r="D50" i="2"/>
  <c r="D49" i="2"/>
  <c r="D46" i="2"/>
  <c r="D45" i="2"/>
  <c r="D44" i="2"/>
  <c r="D43" i="2"/>
  <c r="D41" i="2"/>
  <c r="D40" i="2"/>
  <c r="D36" i="2"/>
  <c r="D34" i="2"/>
  <c r="D32" i="2"/>
  <c r="D27" i="2"/>
  <c r="D25" i="2"/>
  <c r="D24" i="2"/>
  <c r="D22" i="2"/>
  <c r="D21" i="2"/>
  <c r="D18" i="2"/>
  <c r="D17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1" i="2"/>
  <c r="C210" i="2"/>
  <c r="C209" i="2"/>
  <c r="C208" i="2"/>
  <c r="C206" i="2"/>
  <c r="C204" i="2"/>
  <c r="C203" i="2"/>
  <c r="C202" i="2"/>
  <c r="C200" i="2"/>
  <c r="C198" i="2"/>
  <c r="C197" i="2"/>
  <c r="C196" i="2"/>
  <c r="C195" i="2"/>
  <c r="C194" i="2"/>
  <c r="C191" i="2"/>
  <c r="C188" i="2"/>
  <c r="C185" i="2"/>
  <c r="C182" i="2"/>
  <c r="C179" i="2"/>
  <c r="C176" i="2"/>
  <c r="C173" i="2"/>
  <c r="C170" i="2"/>
  <c r="C167" i="2"/>
  <c r="C163" i="2"/>
  <c r="C160" i="2"/>
  <c r="C159" i="2"/>
  <c r="C157" i="2"/>
  <c r="C151" i="2"/>
  <c r="C147" i="2"/>
  <c r="C145" i="2"/>
  <c r="C142" i="2"/>
  <c r="C137" i="2"/>
  <c r="C134" i="2"/>
  <c r="C133" i="2"/>
  <c r="C129" i="2"/>
  <c r="C126" i="2"/>
  <c r="C125" i="2"/>
  <c r="C121" i="2"/>
  <c r="C120" i="2"/>
  <c r="C119" i="2"/>
  <c r="C116" i="2"/>
  <c r="C114" i="2"/>
  <c r="C113" i="2"/>
  <c r="C110" i="2"/>
  <c r="C107" i="2"/>
  <c r="C104" i="2"/>
  <c r="C99" i="2"/>
  <c r="C93" i="2"/>
  <c r="C90" i="2"/>
  <c r="C89" i="2"/>
  <c r="C86" i="2"/>
  <c r="C84" i="2"/>
  <c r="C83" i="2"/>
  <c r="C80" i="2"/>
  <c r="C78" i="2"/>
  <c r="C77" i="2"/>
  <c r="C74" i="2"/>
  <c r="C73" i="2"/>
  <c r="C72" i="2"/>
  <c r="C67" i="2"/>
  <c r="C66" i="2"/>
  <c r="C64" i="2"/>
  <c r="C61" i="2"/>
  <c r="C58" i="2"/>
  <c r="C55" i="2"/>
  <c r="C53" i="2"/>
  <c r="C52" i="2"/>
  <c r="C50" i="2"/>
  <c r="C49" i="2"/>
  <c r="C46" i="2"/>
  <c r="C45" i="2"/>
  <c r="C44" i="2"/>
  <c r="C43" i="2"/>
  <c r="C41" i="2"/>
  <c r="C40" i="2"/>
  <c r="C36" i="2"/>
  <c r="C34" i="2"/>
  <c r="C32" i="2"/>
  <c r="C27" i="2"/>
  <c r="C25" i="2"/>
  <c r="C24" i="2"/>
  <c r="C22" i="2"/>
  <c r="C21" i="2"/>
  <c r="C18" i="2"/>
  <c r="C17" i="2"/>
  <c r="C16" i="2"/>
  <c r="C95" i="2" l="1"/>
  <c r="D99" i="2" l="1"/>
  <c r="D63" i="2"/>
  <c r="C63" i="2"/>
  <c r="D95" i="2" l="1"/>
  <c r="C124" i="2"/>
  <c r="D124" i="2"/>
  <c r="C193" i="2" l="1"/>
  <c r="C192" i="2" s="1"/>
  <c r="D193" i="2"/>
  <c r="D192" i="2" s="1"/>
  <c r="C186" i="2"/>
  <c r="D186" i="2"/>
  <c r="C187" i="2"/>
  <c r="D187" i="2"/>
  <c r="C184" i="2" l="1"/>
  <c r="C183" i="2" s="1"/>
  <c r="D184" i="2"/>
  <c r="D183" i="2" s="1"/>
  <c r="C12" i="2"/>
  <c r="D13" i="2"/>
  <c r="D12" i="2" s="1"/>
  <c r="C20" i="2"/>
  <c r="D20" i="2"/>
  <c r="C28" i="2"/>
  <c r="D28" i="2"/>
  <c r="C33" i="2"/>
  <c r="D33" i="2"/>
  <c r="C35" i="2"/>
  <c r="D35" i="2"/>
  <c r="C39" i="2"/>
  <c r="D39" i="2"/>
  <c r="C42" i="2"/>
  <c r="D42" i="2"/>
  <c r="C48" i="2"/>
  <c r="D48" i="2"/>
  <c r="C51" i="2"/>
  <c r="D51" i="2"/>
  <c r="C54" i="2"/>
  <c r="D54" i="2"/>
  <c r="C56" i="2"/>
  <c r="C57" i="2"/>
  <c r="D57" i="2"/>
  <c r="D56" i="2" s="1"/>
  <c r="C79" i="2"/>
  <c r="D79" i="2"/>
  <c r="C82" i="2"/>
  <c r="D82" i="2"/>
  <c r="C85" i="2"/>
  <c r="D85" i="2"/>
  <c r="C88" i="2"/>
  <c r="D88" i="2"/>
  <c r="C92" i="2"/>
  <c r="D92" i="2"/>
  <c r="C103" i="2"/>
  <c r="C102" i="2" s="1"/>
  <c r="D103" i="2"/>
  <c r="D102" i="2" s="1"/>
  <c r="C106" i="2"/>
  <c r="C105" i="2" s="1"/>
  <c r="D106" i="2"/>
  <c r="D105" i="2" s="1"/>
  <c r="C109" i="2"/>
  <c r="C108" i="2" s="1"/>
  <c r="D109" i="2"/>
  <c r="D108" i="2" s="1"/>
  <c r="C118" i="2"/>
  <c r="C117" i="2" s="1"/>
  <c r="D118" i="2"/>
  <c r="D117" i="2" s="1"/>
  <c r="D123" i="2"/>
  <c r="C123" i="2"/>
  <c r="C131" i="2"/>
  <c r="C130" i="2" s="1"/>
  <c r="D131" i="2"/>
  <c r="D130" i="2" s="1"/>
  <c r="C136" i="2"/>
  <c r="C135" i="2" s="1"/>
  <c r="D136" i="2"/>
  <c r="D135" i="2" s="1"/>
  <c r="C140" i="2"/>
  <c r="C139" i="2" s="1"/>
  <c r="D140" i="2"/>
  <c r="D139" i="2" s="1"/>
  <c r="C144" i="2"/>
  <c r="D144" i="2"/>
  <c r="C146" i="2"/>
  <c r="C143" i="2" s="1"/>
  <c r="D146" i="2"/>
  <c r="C149" i="2"/>
  <c r="C148" i="2" s="1"/>
  <c r="D149" i="2"/>
  <c r="D148" i="2" s="1"/>
  <c r="C153" i="2"/>
  <c r="C152" i="2" s="1"/>
  <c r="D153" i="2"/>
  <c r="D152" i="2" s="1"/>
  <c r="C156" i="2"/>
  <c r="D156" i="2"/>
  <c r="C158" i="2"/>
  <c r="D158" i="2"/>
  <c r="C162" i="2"/>
  <c r="C161" i="2" s="1"/>
  <c r="D162" i="2"/>
  <c r="D161" i="2" s="1"/>
  <c r="C166" i="2"/>
  <c r="C165" i="2" s="1"/>
  <c r="D166" i="2"/>
  <c r="D165" i="2" s="1"/>
  <c r="C169" i="2"/>
  <c r="C168" i="2" s="1"/>
  <c r="D169" i="2"/>
  <c r="D168" i="2" s="1"/>
  <c r="C172" i="2"/>
  <c r="C171" i="2" s="1"/>
  <c r="D172" i="2"/>
  <c r="D171" i="2" s="1"/>
  <c r="C175" i="2"/>
  <c r="C174" i="2" s="1"/>
  <c r="D175" i="2"/>
  <c r="D174" i="2" s="1"/>
  <c r="C178" i="2"/>
  <c r="C177" i="2" s="1"/>
  <c r="D178" i="2"/>
  <c r="D177" i="2" s="1"/>
  <c r="C181" i="2"/>
  <c r="C180" i="2" s="1"/>
  <c r="D181" i="2"/>
  <c r="D180" i="2" s="1"/>
  <c r="C190" i="2"/>
  <c r="C189" i="2" s="1"/>
  <c r="D190" i="2"/>
  <c r="D189" i="2" s="1"/>
  <c r="C60" i="2"/>
  <c r="C59" i="2" s="1"/>
  <c r="D60" i="2"/>
  <c r="D59" i="2" s="1"/>
  <c r="C115" i="2"/>
  <c r="D115" i="2"/>
  <c r="C112" i="2"/>
  <c r="D112" i="2"/>
  <c r="C111" i="2" l="1"/>
  <c r="D111" i="2"/>
  <c r="D155" i="2"/>
  <c r="D143" i="2"/>
  <c r="D138" i="2" s="1"/>
  <c r="C47" i="2"/>
  <c r="C38" i="2"/>
  <c r="D19" i="2"/>
  <c r="C155" i="2"/>
  <c r="C138" i="2"/>
  <c r="D122" i="2"/>
  <c r="C122" i="2"/>
  <c r="C91" i="2"/>
  <c r="D91" i="2"/>
  <c r="C62" i="2"/>
  <c r="D62" i="2"/>
  <c r="D38" i="2"/>
  <c r="C19" i="2"/>
  <c r="C11" i="2" s="1"/>
  <c r="D47" i="2"/>
  <c r="C228" i="2" l="1"/>
  <c r="D11" i="2"/>
  <c r="D228" i="2" s="1"/>
</calcChain>
</file>

<file path=xl/sharedStrings.xml><?xml version="1.0" encoding="utf-8"?>
<sst xmlns="http://schemas.openxmlformats.org/spreadsheetml/2006/main" count="446" uniqueCount="435">
  <si>
    <t>Ц.ст.</t>
  </si>
  <si>
    <t>Сумма на 2023 год</t>
  </si>
  <si>
    <t xml:space="preserve">  Муниципальная программа "Развитие образования в Черниговском муниципальном районе" на 2020-2027 годы</t>
  </si>
  <si>
    <t>0100000000</t>
  </si>
  <si>
    <t>0110000000</t>
  </si>
  <si>
    <t>0110100000</t>
  </si>
  <si>
    <t xml:space="preserve">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</si>
  <si>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</si>
  <si>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</si>
  <si>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</si>
  <si>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</si>
  <si>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</si>
  <si>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</si>
  <si>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</si>
  <si>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</si>
  <si>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</si>
  <si>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>0120000000</t>
  </si>
  <si>
    <t>0120100000</t>
  </si>
  <si>
    <t xml:space="preserve">        Организация и проведение единого государственного экзамена</t>
  </si>
  <si>
    <t>0120120040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</si>
  <si>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</si>
  <si>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</si>
  <si>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>0120170010</t>
  </si>
  <si>
    <t xml:space="preserve">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</si>
  <si>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</si>
  <si>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</si>
  <si>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</si>
  <si>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</si>
  <si>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01201R3041</t>
  </si>
  <si>
    <t>0120200000</t>
  </si>
  <si>
    <t xml:space="preserve">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</si>
  <si>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0120270020</t>
  </si>
  <si>
    <t xml:space="preserve">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</si>
  <si>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</si>
  <si>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Расходы на строительство, реконструкцию и приобретение зданий муниципальных образовательных учреждений, в целях софинансирования которых из бюджета Приморского края предоставляются субсидии</t>
  </si>
  <si>
    <t>01202S2040</t>
  </si>
  <si>
    <t xml:space="preserve">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</si>
  <si>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</si>
  <si>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Предоставление мер социальной поддержки педагогическим работникам муниципальных общеобразовательных организаций</t>
  </si>
  <si>
    <t>012E100000</t>
  </si>
  <si>
    <t xml:space="preserve">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</si>
  <si>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012E193140</t>
  </si>
  <si>
    <t xml:space="preserve">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</si>
  <si>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</si>
  <si>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</si>
  <si>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</si>
  <si>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  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</si>
  <si>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012E254910</t>
  </si>
  <si>
    <t>0130000000</t>
  </si>
  <si>
    <t>0130100000</t>
  </si>
  <si>
    <t xml:space="preserve">        Проведение мероприятий для детей и молодежи</t>
  </si>
  <si>
    <t>0130120030</t>
  </si>
  <si>
    <t>0130170010</t>
  </si>
  <si>
    <t>0130200000</t>
  </si>
  <si>
    <t xml:space="preserve">        Обеспечение отдыха детей и подростков в профильных лагерях при образовательных учреждениях</t>
  </si>
  <si>
    <t>0130220060</t>
  </si>
  <si>
    <t xml:space="preserve">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</si>
  <si>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</si>
  <si>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Информационно-методическое и материальное обеспечение отдыха и занятости детей и подростков</t>
  </si>
  <si>
    <t>0130220080</t>
  </si>
  <si>
    <t xml:space="preserve">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</si>
  <si>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</si>
  <si>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>0140000000</t>
  </si>
  <si>
    <t>0140100000</t>
  </si>
  <si>
    <t xml:space="preserve">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</si>
  <si>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</si>
  <si>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</si>
  <si>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>0140200000</t>
  </si>
  <si>
    <t xml:space="preserve">        Повышение квалификации педагогических кадров</t>
  </si>
  <si>
    <t>0140220100</t>
  </si>
  <si>
    <t xml:space="preserve">        Поощрение учителей</t>
  </si>
  <si>
    <t>0140221100</t>
  </si>
  <si>
    <t>0140300000</t>
  </si>
  <si>
    <t xml:space="preserve">        Поддержка талантливой молодежи Черниговского района</t>
  </si>
  <si>
    <t>0140320090</t>
  </si>
  <si>
    <t>0150000000</t>
  </si>
  <si>
    <t>0150100000</t>
  </si>
  <si>
    <t xml:space="preserve">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</si>
  <si>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</si>
  <si>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Муниципальная программа "Комплексное развитие сельских территорий" на 2020-2025 годы</t>
  </si>
  <si>
    <t>0200000000</t>
  </si>
  <si>
    <t xml:space="preserve">      Основное направление "Социальные выплаты отдельным категориям граждан на обеспечение жильем"</t>
  </si>
  <si>
    <t>0200100000</t>
  </si>
  <si>
    <t xml:space="preserve">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</si>
  <si>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</si>
  <si>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Муниципальная программа "Развитие культуры в Черниговском районе" на 2017-2024 годы</t>
  </si>
  <si>
    <t>0300000000</t>
  </si>
  <si>
    <t>0300100000</t>
  </si>
  <si>
    <t>0300170010</t>
  </si>
  <si>
    <t>0300170020</t>
  </si>
  <si>
    <t xml:space="preserve">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</si>
  <si>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</si>
  <si>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</si>
  <si>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</si>
  <si>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Субсидии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</t>
  </si>
  <si>
    <t>0300192361</t>
  </si>
  <si>
    <t xml:space="preserve">        Субсидии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</t>
  </si>
  <si>
    <t>0300192362</t>
  </si>
  <si>
    <t xml:space="preserve">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</si>
  <si>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</si>
  <si>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</si>
  <si>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</si>
  <si>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</si>
  <si>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</si>
  <si>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Расходы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района), в целях софинансирования которых из бюджета Приморского края предоставляются субсидии</t>
  </si>
  <si>
    <t>03001S2361</t>
  </si>
  <si>
    <t xml:space="preserve">        Расходы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с.Черниговка), в целях софинансирования которых из бюджета Приморского края предоставляются субсидии</t>
  </si>
  <si>
    <t>03001S2362</t>
  </si>
  <si>
    <t xml:space="preserve">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</si>
  <si>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</si>
  <si>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>0300200000</t>
  </si>
  <si>
    <t>0300270010</t>
  </si>
  <si>
    <t xml:space="preserve">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</si>
  <si>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</si>
  <si>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>0300400000</t>
  </si>
  <si>
    <t xml:space="preserve">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</si>
  <si>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</si>
  <si>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Проведение краевого фестиваля современного любительского творчества Черниговские родники</t>
  </si>
  <si>
    <t>0300420180</t>
  </si>
  <si>
    <t xml:space="preserve">      Обеспечение качественно нового уровня развития инфраструктуры культуры</t>
  </si>
  <si>
    <t>030A100000</t>
  </si>
  <si>
    <t xml:space="preserve">       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</si>
  <si>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030A155191</t>
  </si>
  <si>
    <t xml:space="preserve">        Субсидии на 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</t>
  </si>
  <si>
    <t>030A155192</t>
  </si>
  <si>
    <t xml:space="preserve">      Создание условий для реализации творческого потенциала нации ("Творческие люди")</t>
  </si>
  <si>
    <t>030A200000</t>
  </si>
  <si>
    <t xml:space="preserve">        Субсидии на государственную поддержку лучших работников муниципальных учреждений культуры, находящихся на территории сельских поселений</t>
  </si>
  <si>
    <t>030A255194</t>
  </si>
  <si>
    <t xml:space="preserve">        Субсидии на государственную поддержку муниципальных учреждений культуры</t>
  </si>
  <si>
    <t>030A255195</t>
  </si>
  <si>
    <t xml:space="preserve">  Муниципальная программа "Развитие физической культуры и спорта в Черниговском муниципальном районе" на 2017-2025 годы</t>
  </si>
  <si>
    <t>0400000000</t>
  </si>
  <si>
    <t>0400100000</t>
  </si>
  <si>
    <t xml:space="preserve">        Организация, проведение и участие в спортивных мероприятиях</t>
  </si>
  <si>
    <t>0400120200</t>
  </si>
  <si>
    <t xml:space="preserve">        Расходы на развитие спортивной инфраструктуры, находящейся в муниципальной собственности Черниговского района</t>
  </si>
  <si>
    <t>0400170021</t>
  </si>
  <si>
    <t>040P500000</t>
  </si>
  <si>
    <t xml:space="preserve">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</si>
  <si>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</si>
  <si>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</si>
  <si>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</si>
  <si>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 xml:space="preserve">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</si>
  <si>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</si>
  <si>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</si>
  <si>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0600000000</t>
  </si>
  <si>
    <t>0600100000</t>
  </si>
  <si>
    <t xml:space="preserve">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</si>
  <si>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</si>
  <si>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Муниципальная программа "Формирование информационного общества в Черниговском районе" на 2020-2024 годы</t>
  </si>
  <si>
    <t>0700000000</t>
  </si>
  <si>
    <t>0700100000</t>
  </si>
  <si>
    <t xml:space="preserve">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</si>
  <si>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</si>
  <si>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Муниципальная программа "Противодействие и профилактика терроризма на территории Черниговского муниципального района" на 2017-2024 годы</t>
  </si>
  <si>
    <t>0800000000</t>
  </si>
  <si>
    <t>0800100000</t>
  </si>
  <si>
    <t xml:space="preserve">        Мероприятия по профилактике экстремизма и терроризма</t>
  </si>
  <si>
    <t>0800120220</t>
  </si>
  <si>
    <t>1000000000</t>
  </si>
  <si>
    <t>1000100000</t>
  </si>
  <si>
    <t xml:space="preserve">        Расходы в области жилищного хозяйства</t>
  </si>
  <si>
    <t>1000120350</t>
  </si>
  <si>
    <t xml:space="preserve">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</si>
  <si>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</si>
  <si>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Капитальный ремонт муниципального жилищного фонда</t>
  </si>
  <si>
    <t>1000120370</t>
  </si>
  <si>
    <t xml:space="preserve">  Муниципальная программа "Развитие дорожного хозяйства и транспорта в Черниговском районе" на 2018-2024 годы</t>
  </si>
  <si>
    <t>1100000000</t>
  </si>
  <si>
    <t>1110000000</t>
  </si>
  <si>
    <t>1110100000</t>
  </si>
  <si>
    <t xml:space="preserve">        Содержание действующей сети автомобильных дорог общего пользования местного значения</t>
  </si>
  <si>
    <t>1110120320</t>
  </si>
  <si>
    <t xml:space="preserve">        Капитальный ремонт и ремонт автомобильных дорог общего пользования местного значения</t>
  </si>
  <si>
    <t>1110120330</t>
  </si>
  <si>
    <t xml:space="preserve">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</si>
  <si>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</si>
  <si>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</si>
  <si>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</si>
  <si>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>1120000000</t>
  </si>
  <si>
    <t>1120100000</t>
  </si>
  <si>
    <t xml:space="preserve">        Мероприятия по организации транспортного обслуживания населения автомобильным транспортом</t>
  </si>
  <si>
    <t>1120120470</t>
  </si>
  <si>
    <t xml:space="preserve">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</si>
  <si>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</si>
  <si>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</si>
  <si>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</si>
  <si>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>1130000000</t>
  </si>
  <si>
    <t>1130100000</t>
  </si>
  <si>
    <t xml:space="preserve">        Обеспечение мероприятий по развитию дорожно-транспортной инфраструктуры</t>
  </si>
  <si>
    <t>1130120340</t>
  </si>
  <si>
    <t xml:space="preserve">  Муниципальная программа "Комплексное развитие систем коммунальной инфраструктуры Черниговского района" на 2017-2024 годы</t>
  </si>
  <si>
    <t>1300000000</t>
  </si>
  <si>
    <t>1310000000</t>
  </si>
  <si>
    <t>1310100000</t>
  </si>
  <si>
    <t xml:space="preserve">        Расходы на подготовку к эксплуатации строящегося объекта - системы водоснабжения и системы очистки воды в с. Черниговка</t>
  </si>
  <si>
    <t>1310100080</t>
  </si>
  <si>
    <t xml:space="preserve">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</si>
  <si>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</si>
  <si>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>1320000000</t>
  </si>
  <si>
    <t>1320100000</t>
  </si>
  <si>
    <t xml:space="preserve">        Ремонт (капитальный ремонт) объектов коммунального хозяйства</t>
  </si>
  <si>
    <t>1320120410</t>
  </si>
  <si>
    <t>1320200000</t>
  </si>
  <si>
    <t xml:space="preserve">        Мероприятия по благоустройству и содержанию территории Черниговского района</t>
  </si>
  <si>
    <t>1320220420</t>
  </si>
  <si>
    <t>1330000000</t>
  </si>
  <si>
    <t>1330300000</t>
  </si>
  <si>
    <t xml:space="preserve">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</si>
  <si>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</si>
  <si>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</si>
  <si>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</si>
  <si>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</si>
  <si>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</si>
  <si>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Проектирование и строительство объектов водоотведения на территории сельских поселений Черниговского района</t>
  </si>
  <si>
    <t>1340100000</t>
  </si>
  <si>
    <t xml:space="preserve">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</si>
  <si>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1340100070</t>
  </si>
  <si>
    <t>1400000000</t>
  </si>
  <si>
    <t>1400100000</t>
  </si>
  <si>
    <t>1400110030</t>
  </si>
  <si>
    <t>1400200000</t>
  </si>
  <si>
    <t xml:space="preserve">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</si>
  <si>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</si>
  <si>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</si>
  <si>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</si>
  <si>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</si>
  <si>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</si>
  <si>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>1500100000</t>
  </si>
  <si>
    <t xml:space="preserve">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</si>
  <si>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</si>
  <si>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Поддержка социально значимых проектов на территории Черниговского района</t>
  </si>
  <si>
    <t>1500120131</t>
  </si>
  <si>
    <t xml:space="preserve">  Муниципальная программа "Профилактика наркомании на территории Черниговского муниципального района" на 2017-2024 годы</t>
  </si>
  <si>
    <t>1600000000</t>
  </si>
  <si>
    <t>1600100000</t>
  </si>
  <si>
    <t xml:space="preserve">        Мероприятия по противодействию распространения наркотиков</t>
  </si>
  <si>
    <t>1600120240</t>
  </si>
  <si>
    <t xml:space="preserve">  Муниципальная программа "Патриотическое воспитание граждан Черниговского муниципального района" на 2017-2024 годы</t>
  </si>
  <si>
    <t>1700000000</t>
  </si>
  <si>
    <t>1700100000</t>
  </si>
  <si>
    <t xml:space="preserve">        Мероприятия по патриотическому воспитанию граждан Черниговского муниципального района</t>
  </si>
  <si>
    <t>1700120160</t>
  </si>
  <si>
    <t xml:space="preserve">  Муниципальная программа "Развитие муниципальной службы и информационной политики в Черниговском районе" на 2017-2024 годы</t>
  </si>
  <si>
    <t>1800000000</t>
  </si>
  <si>
    <t>1800200000</t>
  </si>
  <si>
    <t xml:space="preserve">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</si>
  <si>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</si>
  <si>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</si>
  <si>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</si>
  <si>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>1900100000</t>
  </si>
  <si>
    <t xml:space="preserve">        Мероприятия по профилактике правонарушений и борьбе с преступностью</t>
  </si>
  <si>
    <t>1900120230</t>
  </si>
  <si>
    <t xml:space="preserve">  Муниципальная программа "Молодежь района" на 2017-2025 годы</t>
  </si>
  <si>
    <t>2000000000</t>
  </si>
  <si>
    <t>2000100000</t>
  </si>
  <si>
    <t>2000120030</t>
  </si>
  <si>
    <t xml:space="preserve">  Муниципальная программа "Обеспечение жильем молодых семей Черниговского района" на 2017-2025 годы</t>
  </si>
  <si>
    <t>2100000000</t>
  </si>
  <si>
    <t>2100100000</t>
  </si>
  <si>
    <t>21001L4970</t>
  </si>
  <si>
    <t xml:space="preserve">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</si>
  <si>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</si>
  <si>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>2200100000</t>
  </si>
  <si>
    <t xml:space="preserve">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</si>
  <si>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</si>
  <si>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Муниципальная программа "О противодействии коррупции в Администрации Черниговского района" на 2019-2024 годы</t>
  </si>
  <si>
    <t>2400000000</t>
  </si>
  <si>
    <t>2400100000</t>
  </si>
  <si>
    <t xml:space="preserve">        Мероприятия по противодействию коррупции</t>
  </si>
  <si>
    <t>2400120600</t>
  </si>
  <si>
    <t>2500000000</t>
  </si>
  <si>
    <t>2500100000</t>
  </si>
  <si>
    <t xml:space="preserve">        Мероприятия по укреплению межэтнических связей и межрелигиозных отношений</t>
  </si>
  <si>
    <t>2500120270</t>
  </si>
  <si>
    <t xml:space="preserve">  Непрограммные направления деятельности органов местного самоуправления</t>
  </si>
  <si>
    <t>9900000000</t>
  </si>
  <si>
    <t xml:space="preserve">      Мероприятия непрограммных направлений деятельности органов местного самоуправления</t>
  </si>
  <si>
    <t>9999900000</t>
  </si>
  <si>
    <t xml:space="preserve">        Глава Черниговского муниципального района</t>
  </si>
  <si>
    <t>9999910010</t>
  </si>
  <si>
    <t>9999910030</t>
  </si>
  <si>
    <t xml:space="preserve">        Председатель Думы Черниговского района</t>
  </si>
  <si>
    <t>9999910040</t>
  </si>
  <si>
    <t xml:space="preserve">        Депутаты Думы Черниговского района</t>
  </si>
  <si>
    <t>9999910050</t>
  </si>
  <si>
    <t xml:space="preserve">        Руководитель контрольно -счетной комиссии Черниговского района</t>
  </si>
  <si>
    <t>9999910060</t>
  </si>
  <si>
    <t xml:space="preserve">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</si>
  <si>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</si>
  <si>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Мероприятия по землеустройству и землепользованию</t>
  </si>
  <si>
    <t>9999920020</t>
  </si>
  <si>
    <t xml:space="preserve">        Создание условий для оказания медицинской помощи населению на территории Черниговского района</t>
  </si>
  <si>
    <t>9999920050</t>
  </si>
  <si>
    <t xml:space="preserve">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</si>
  <si>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</si>
  <si>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</si>
  <si>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</si>
  <si>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Резервный фонд Администрации Черниговского муниципального района</t>
  </si>
  <si>
    <t>9999920280</t>
  </si>
  <si>
    <t xml:space="preserve">        Расходы, связанные с исполнением судебных актов и решений налоговых органов</t>
  </si>
  <si>
    <t>9999920290</t>
  </si>
  <si>
    <t>9999920360</t>
  </si>
  <si>
    <t xml:space="preserve">        Расходы на проведение мероприятий по благоустройству и содержанию территории Черниговского района</t>
  </si>
  <si>
    <t>9999920420</t>
  </si>
  <si>
    <t xml:space="preserve">        Содержание мест захоронения</t>
  </si>
  <si>
    <t>9999920450</t>
  </si>
  <si>
    <t xml:space="preserve">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</si>
  <si>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</si>
  <si>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</si>
  <si>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</si>
  <si>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Субвенции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</si>
  <si>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</si>
  <si>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        Субвенции на проведение Всероссийской переписи населения 2020 года</t>
  </si>
  <si>
    <t>9999954690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</si>
  <si>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</si>
  <si>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</si>
  <si>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>9999970010</t>
  </si>
  <si>
    <t xml:space="preserve">        Расходы по содержанию помещения отдела ЗАГС за счет средств бюджета Черниговского района</t>
  </si>
  <si>
    <t>9999970011</t>
  </si>
  <si>
    <t xml:space="preserve">        Расходы на обеспечение информационной безопасности</t>
  </si>
  <si>
    <t>9999970090</t>
  </si>
  <si>
    <t xml:space="preserve">        Пенсии за выслугу лет муниципальным служащим Черниговского района</t>
  </si>
  <si>
    <t>9999980010</t>
  </si>
  <si>
    <t xml:space="preserve">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</si>
  <si>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</si>
  <si>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</si>
  <si>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</si>
  <si>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</si>
  <si>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</si>
  <si>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</si>
  <si>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</si>
  <si>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</si>
  <si>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</si>
  <si>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</si>
  <si>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</si>
  <si>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</si>
  <si>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</si>
  <si>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</si>
  <si>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</si>
  <si>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</si>
  <si>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99999R0820</t>
  </si>
  <si>
    <t xml:space="preserve">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</si>
  <si>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</si>
  <si>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Всего расходов:   </t>
  </si>
  <si>
    <t>Сумма на 2024 год</t>
  </si>
  <si>
    <t>Наименование</t>
  </si>
  <si>
    <t>09 0 01 00000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</si>
  <si>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района Приморского края" на 2022-2027 годы</t>
  </si>
  <si>
    <t>09 0 01 20500</t>
  </si>
  <si>
    <t>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района</t>
  </si>
  <si>
    <t>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</si>
  <si>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09 0 01 20510</t>
  </si>
  <si>
    <t>09 0 02 00000</t>
  </si>
  <si>
    <t>09 0 02 20800</t>
  </si>
  <si>
    <t>Расходы на организацию выполнения и осуществления мер пожарной безопасности, противопожарная пропаганда</t>
  </si>
  <si>
    <t>ПРОЕКТ</t>
  </si>
  <si>
    <r>
      <t xml:space="preserve">  Муниципальная программа "Капитальный ремонт муниципального жилого фонда Черниговского муниципального района Приморского края" на 2018-20</t>
    </r>
    <r>
      <rPr>
        <b/>
        <sz val="10"/>
        <rFont val="Times New Roman"/>
        <family val="1"/>
        <charset val="204"/>
      </rPr>
      <t>25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годы</t>
    </r>
  </si>
  <si>
    <r>
      <t xml:space="preserve">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</t>
    </r>
    <r>
      <rPr>
        <b/>
        <sz val="10"/>
        <rFont val="Times New Roman"/>
        <family val="1"/>
        <charset val="204"/>
      </rPr>
      <t>24</t>
    </r>
    <r>
      <rPr>
        <b/>
        <sz val="10"/>
        <color rgb="FF000000"/>
        <rFont val="Times New Roman"/>
        <family val="1"/>
        <charset val="204"/>
      </rPr>
      <t xml:space="preserve"> годы</t>
    </r>
  </si>
  <si>
    <t xml:space="preserve">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</si>
  <si>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</si>
  <si>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 xml:space="preserve">Расходы на обеспечение деятельности (оказание услуг, выполнение работ) муниципального бюджетного учреждения культуры «Черниговский районный центр культуры и досуга» </t>
  </si>
  <si>
    <t>040P592190</t>
  </si>
  <si>
    <t xml:space="preserve">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</si>
  <si>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0300172010</t>
  </si>
  <si>
    <t xml:space="preserve">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</si>
  <si>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>040P592230</t>
  </si>
  <si>
    <t xml:space="preserve">     Расходы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</t>
  </si>
  <si>
    <t>040P5S2230</t>
  </si>
  <si>
    <t xml:space="preserve">     Субсидии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</si>
  <si>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>0300192470</t>
  </si>
  <si>
    <t>03001S2470</t>
  </si>
  <si>
    <t xml:space="preserve">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</si>
  <si>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>01201R3040</t>
  </si>
  <si>
    <t xml:space="preserve">       Субвенции бюджетам муниципальных образований Приморского края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</si>
  <si>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Тип структурного элемента "Развитие системы дошкольного образования Черниговского района на 2020-2027 годы"</t>
  </si>
  <si>
    <t xml:space="preserve">    Тип структурного элемента "Развитие системы общего образования Черниговского района на 2020-2027 годы"</t>
  </si>
  <si>
    <t xml:space="preserve">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</si>
  <si>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 xml:space="preserve">    Тип структурного элемента "Обеспечение деятельности учреждений и органов управления системы образования Черниговского района" на 2020-2027 годы</t>
  </si>
  <si>
    <t xml:space="preserve">    Тип структурного элемента "Пожарная безопасность в образовательных учреждениях Черниговского района на 2020-2027 годы"</t>
  </si>
  <si>
    <t xml:space="preserve">   Тип структурного элемента "Ремонт и содержание дорог местного значения Черниговского муниципального района Приморского края"</t>
  </si>
  <si>
    <t xml:space="preserve">    Тип структурного элемента "Развитие транспортного хозяйства Черниговского района"</t>
  </si>
  <si>
    <t xml:space="preserve">    Тип структурного элемента "Повышение безопасности дорожного движения на территории Черниговского района"</t>
  </si>
  <si>
    <t xml:space="preserve">    Тип структурного элемента "Чистая вода" на 2017-2024 годы</t>
  </si>
  <si>
    <t xml:space="preserve">    Тип структурного элемента "Развитие, ремонт (капитальный ремонт) и содержание объектов коммунальной инфраструктуры"</t>
  </si>
  <si>
    <t xml:space="preserve">   Тип структурного элемента "Организация снабжения населения твердым топливом (дровами)"</t>
  </si>
  <si>
    <t xml:space="preserve">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районе" на 2018-2024 годы</t>
  </si>
  <si>
    <t xml:space="preserve">      Комплекс процессных мероприятий "Реализация образовательных программ дошкольного образования"</t>
  </si>
  <si>
    <t xml:space="preserve">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</si>
  <si>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 xml:space="preserve">      Комплекс процессных мероприятий "Развитие инфраструктуры общеобразовательных организаций"</t>
  </si>
  <si>
    <t xml:space="preserve">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</si>
  <si>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Комплекс процессных мероприятий "Организация и обеспечение отдыха и оздоровления детей"</t>
  </si>
  <si>
    <t xml:space="preserve">     Комплекс процессных мероприятий "Обеспечение деятельности учреждений и функций органов местного самоуправления"</t>
  </si>
  <si>
    <t xml:space="preserve">      Комплекс процессных мероприятий "Развитие кадрового потенциала системы образования"</t>
  </si>
  <si>
    <t xml:space="preserve">      Комплекс процессных мероприятий "Поддержка талантливой молодежи"</t>
  </si>
  <si>
    <t xml:space="preserve">     Комплекс процессных мероприятий "Повышение пожарной безопасности в муниципальных образовательных учреждениях"</t>
  </si>
  <si>
    <t xml:space="preserve">      Комплекс процессных мероприятий "Обеспечение деятельности и поддержка учреждений культуры Черниговского района"</t>
  </si>
  <si>
    <t xml:space="preserve">     Комплекс процессных мероприятий "Обеспечение деятельности образовательных учреждений в сфере культуры"</t>
  </si>
  <si>
    <t xml:space="preserve">     Комплекс процессных мероприятий "Организация проведения социально значимых культурных мероприятий"</t>
  </si>
  <si>
    <t xml:space="preserve">      Комплекс процессных мероприятий "Создание условий для привлечения населения к занятиям спортом"</t>
  </si>
  <si>
    <t xml:space="preserve">      Комплекс процессных мероприятий "Развитие спортивной инфраструктуры, находящейся в муниципальной собственности"</t>
  </si>
  <si>
    <t xml:space="preserve">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</si>
  <si>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Комплекс процессных мероприятий "Развитие телекоммуникационной инфраструктуры органов местного самоуправления"</t>
  </si>
  <si>
    <t xml:space="preserve">     Комплекс процессных мероприятий "Формирование системы мер пресечения и профилактики различных видов терроризма"</t>
  </si>
  <si>
    <t xml:space="preserve">Комплекс процессных мероприятий "Снижение рисков и смягчение последствий чрезвычайных ситуаций природного и техногенного характера" </t>
  </si>
  <si>
    <t xml:space="preserve">Комплекс процессных мероприятий "Пожарная безопасность" </t>
  </si>
  <si>
    <t xml:space="preserve">      Комплекс процессных мероприятий "Капитальный ремонт муниципального жилого фонда"</t>
  </si>
  <si>
    <t xml:space="preserve">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</si>
  <si>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 xml:space="preserve">      Комплекс процессных мероприятий "Организация транспортного обслуживания населения автомобильным транспортом"</t>
  </si>
  <si>
    <t xml:space="preserve">      Комплекс процессных мероприятий "Обеспечение безопасных условий движения"</t>
  </si>
  <si>
    <t xml:space="preserve">    Комплекс процессных мероприятий "Обеспечение водоснабжения и водоотведения населенных пунктов Черниговского района"</t>
  </si>
  <si>
    <t xml:space="preserve">     Комплекс процессных мероприятий "Повышение эффективности функционирования жилищно-коммунальных систем"</t>
  </si>
  <si>
    <t xml:space="preserve">      Комплекс процессных мероприятий "Улучшение условий и обеспечение комфортного проживания в Черниговском районе"</t>
  </si>
  <si>
    <t xml:space="preserve">      Комплекс процессных мероприятий "Обеспечение граждан твердым топливом (дровами)"</t>
  </si>
  <si>
    <t xml:space="preserve">      Комплекс процессных мероприятий "Управление бюджетным процессом в Черниговском районе"</t>
  </si>
  <si>
    <t xml:space="preserve">     Комплекс процессных мероприятий "Совершенствование межбюджетных отношений в Черниговском районе"</t>
  </si>
  <si>
    <t xml:space="preserve">     Комплекс процессных мероприятий "Формирование положительного образа предпринимателя, популяризация роли предпринимательства"</t>
  </si>
  <si>
    <t xml:space="preserve">      Комплекс процессных мероприятий "Социальная профилактика, популяризация здорового образа жизни"</t>
  </si>
  <si>
    <t xml:space="preserve">     Комплекс процессных мероприятий "Совершенствование и развитие системы патриотического воспитания граждан"</t>
  </si>
  <si>
    <t xml:space="preserve">      Комплекс процессных мероприятий "Информационная открытость органов местного самоуправления Черниговского района"</t>
  </si>
  <si>
    <t xml:space="preserve">      Комплекс процессных мероприятий "Совершенствование системы охраны общественного порядка и профилактики правонарушений"</t>
  </si>
  <si>
    <t xml:space="preserve">     Комплекс процессных мероприятий "Привлечение молодежи к общественной жизни села"</t>
  </si>
  <si>
    <t xml:space="preserve">      Комплекс процессных мероприятий "Обеспечение выплаты молодым семьям субсидии на приобретение (строительство) стандартного жилья"</t>
  </si>
  <si>
    <t xml:space="preserve">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</si>
  <si>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 xml:space="preserve">      Комплекс процессных мероприятий "Совершенствование системы противодействия коррупции в Черниговском районе"</t>
  </si>
  <si>
    <t xml:space="preserve">      Комплекс процессных мероприятий "Укрепление межэтнических связей и межрелигиозных отношений на территории Черниговского муниципального района"</t>
  </si>
  <si>
    <t xml:space="preserve">        Предоставление социальных выплат молодым семьям - участникам "Типа структурного элемента" - для приобретения (строительства) стандартного жилья</t>
  </si>
  <si>
    <t>Приложение 13</t>
  </si>
  <si>
    <t>к решению Думы Черниговского района</t>
  </si>
  <si>
    <t>по муниципальным программам Черниговского района и</t>
  </si>
  <si>
    <t>непрограммным направлениям деятельности</t>
  </si>
  <si>
    <t>(тыс.рублей)</t>
  </si>
  <si>
    <t>от ___.___.2021г. №____-НПА</t>
  </si>
  <si>
    <t>Распределение бюджетных ассигнований из районного бюджета на 2023 и 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</si>
</sst>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41">
    <xf numFmtId="0" fontId="0" fillId="0" borderId="0" xfId="0"/>
    <xf numFmtId="0" fontId="0" fillId="0" borderId="0" xfId="0" applyProtection="1">
      <protection locked="0"/>
    </xf>
    <xf numFmtId="0" fontId="5" fillId="5" borderId="2" xfId="4" applyNumberFormat="1" applyFont="1" applyFill="1" applyProtection="1">
      <alignment horizontal="center" vertical="center" wrapText="1"/>
    </xf>
    <xf numFmtId="0" fontId="5" fillId="5" borderId="2" xfId="5" applyNumberFormat="1" applyFont="1" applyFill="1" applyProtection="1">
      <alignment vertical="top" wrapText="1"/>
    </xf>
    <xf numFmtId="1" fontId="5" fillId="5" borderId="2" xfId="6" applyNumberFormat="1" applyFont="1" applyFill="1" applyProtection="1">
      <alignment horizontal="center" vertical="top" shrinkToFit="1"/>
    </xf>
    <xf numFmtId="0" fontId="6" fillId="5" borderId="2" xfId="5" applyNumberFormat="1" applyFont="1" applyFill="1" applyProtection="1">
      <alignment vertical="top" wrapText="1"/>
    </xf>
    <xf numFmtId="1" fontId="6" fillId="5" borderId="2" xfId="6" applyNumberFormat="1" applyFont="1" applyFill="1" applyProtection="1">
      <alignment horizontal="center" vertical="top" shrinkToFit="1"/>
    </xf>
    <xf numFmtId="0" fontId="9" fillId="5" borderId="2" xfId="5" applyNumberFormat="1" applyFont="1" applyFill="1" applyProtection="1">
      <alignment vertical="top" wrapText="1"/>
    </xf>
    <xf numFmtId="1" fontId="9" fillId="5" borderId="2" xfId="6" applyNumberFormat="1" applyFont="1" applyFill="1" applyProtection="1">
      <alignment horizontal="center" vertical="top" shrinkToFit="1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5" fillId="5" borderId="5" xfId="5" applyNumberFormat="1" applyFont="1" applyFill="1" applyBorder="1" applyProtection="1">
      <alignment vertical="top" wrapText="1"/>
    </xf>
    <xf numFmtId="1" fontId="5" fillId="5" borderId="5" xfId="6" applyNumberFormat="1" applyFont="1" applyFill="1" applyBorder="1" applyProtection="1">
      <alignment horizontal="center" vertical="top" shrinkToFit="1"/>
    </xf>
    <xf numFmtId="49" fontId="5" fillId="5" borderId="2" xfId="6" applyNumberFormat="1" applyFont="1" applyFill="1" applyProtection="1">
      <alignment horizontal="center" vertical="top" shrinkToFit="1"/>
    </xf>
    <xf numFmtId="0" fontId="13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8" fillId="5" borderId="0" xfId="0" applyFont="1" applyFill="1" applyAlignment="1">
      <alignment wrapText="1"/>
    </xf>
    <xf numFmtId="164" fontId="10" fillId="5" borderId="2" xfId="7" applyNumberFormat="1" applyFont="1" applyFill="1" applyProtection="1">
      <alignment horizontal="right" vertical="top" shrinkToFit="1"/>
    </xf>
    <xf numFmtId="164" fontId="11" fillId="5" borderId="2" xfId="7" applyNumberFormat="1" applyFont="1" applyFill="1" applyProtection="1">
      <alignment horizontal="right" vertical="top" shrinkToFit="1"/>
    </xf>
    <xf numFmtId="164" fontId="8" fillId="5" borderId="2" xfId="7" applyNumberFormat="1" applyFont="1" applyFill="1" applyProtection="1">
      <alignment horizontal="right" vertical="top" shrinkToFit="1"/>
    </xf>
    <xf numFmtId="164" fontId="9" fillId="5" borderId="2" xfId="7" applyNumberFormat="1" applyFont="1" applyFill="1" applyProtection="1">
      <alignment horizontal="right" vertical="top" shrinkToFit="1"/>
    </xf>
    <xf numFmtId="164" fontId="6" fillId="5" borderId="2" xfId="7" applyNumberFormat="1" applyFont="1" applyFill="1" applyProtection="1">
      <alignment horizontal="right" vertical="top" shrinkToFit="1"/>
    </xf>
    <xf numFmtId="164" fontId="5" fillId="5" borderId="2" xfId="7" applyNumberFormat="1" applyFont="1" applyFill="1" applyProtection="1">
      <alignment horizontal="right" vertical="top" shrinkToFit="1"/>
    </xf>
    <xf numFmtId="164" fontId="8" fillId="5" borderId="5" xfId="7" applyNumberFormat="1" applyFont="1" applyFill="1" applyBorder="1" applyProtection="1">
      <alignment horizontal="right" vertical="top" shrinkToFit="1"/>
    </xf>
    <xf numFmtId="164" fontId="10" fillId="5" borderId="4" xfId="10" applyNumberFormat="1" applyFont="1" applyFill="1" applyBorder="1" applyProtection="1">
      <alignment horizontal="right" vertical="top" shrinkToFit="1"/>
    </xf>
    <xf numFmtId="0" fontId="14" fillId="0" borderId="0" xfId="0" applyFont="1" applyProtection="1">
      <protection locked="0"/>
    </xf>
    <xf numFmtId="0" fontId="5" fillId="0" borderId="1" xfId="4" applyNumberFormat="1" applyFont="1" applyBorder="1" applyAlignment="1" applyProtection="1">
      <alignment horizontal="right"/>
    </xf>
    <xf numFmtId="0" fontId="8" fillId="0" borderId="1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16" fillId="0" borderId="1" xfId="1" applyFont="1">
      <alignment horizontal="center"/>
    </xf>
    <xf numFmtId="0" fontId="5" fillId="0" borderId="1" xfId="3" applyFont="1">
      <alignment horizontal="right"/>
    </xf>
    <xf numFmtId="0" fontId="6" fillId="5" borderId="7" xfId="9" applyNumberFormat="1" applyFont="1" applyFill="1" applyBorder="1" applyProtection="1">
      <alignment horizontal="right"/>
    </xf>
    <xf numFmtId="0" fontId="6" fillId="5" borderId="6" xfId="9" applyFont="1" applyFill="1" applyBorder="1">
      <alignment horizontal="right"/>
    </xf>
    <xf numFmtId="0" fontId="5" fillId="0" borderId="1" xfId="4" applyNumberFormat="1" applyFont="1" applyBorder="1" applyAlignment="1" applyProtection="1">
      <alignment horizontal="right"/>
    </xf>
    <xf numFmtId="0" fontId="8" fillId="0" borderId="1" xfId="0" applyFont="1" applyBorder="1" applyAlignment="1">
      <alignment horizontal="right"/>
    </xf>
    <xf numFmtId="0" fontId="0" fillId="0" borderId="0" xfId="0" applyAlignment="1"/>
    <xf numFmtId="0" fontId="16" fillId="0" borderId="1" xfId="4" applyNumberFormat="1" applyFont="1" applyBorder="1" applyAlignment="1" applyProtection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4" applyFont="1" applyBorder="1" applyAlignment="1" applyProtection="1">
      <alignment horizontal="center"/>
      <protection locked="0"/>
    </xf>
    <xf numFmtId="0" fontId="5" fillId="0" borderId="1" xfId="3" applyNumberFormat="1" applyFont="1" applyProtection="1">
      <alignment horizontal="right"/>
    </xf>
    <xf numFmtId="0" fontId="5" fillId="0" borderId="1" xfId="3" applyFont="1">
      <alignment horizontal="right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showGridLines="0" tabSelected="1" zoomScaleNormal="100" zoomScaleSheetLayoutView="100" workbookViewId="0">
      <pane ySplit="10" topLeftCell="A221" activePane="bottomLeft" state="frozen"/>
      <selection pane="bottomLeft" activeCell="A13" sqref="A13"/>
    </sheetView>
  </sheetViews>
  <sheetFormatPr defaultRowHeight="14.4" outlineLevelRow="3" x14ac:dyDescent="0.3"/>
  <cols>
    <col min="1" max="1" width="78.33203125" style="1" customWidth="1"/>
    <col min="2" max="2" width="9.88671875" style="1" customWidth="1"/>
    <col min="3" max="3" width="13.109375" style="1" customWidth="1"/>
    <col min="4" max="4" width="13.5546875" style="1" customWidth="1"/>
    <col min="5" max="5" width="9" style="1" customWidth="1"/>
    <col min="6" max="16384" width="8.88671875" style="1"/>
  </cols>
  <sheetData>
    <row r="1" spans="1:5" x14ac:dyDescent="0.3">
      <c r="A1" s="25" t="s">
        <v>357</v>
      </c>
      <c r="B1" s="25"/>
      <c r="C1" s="25"/>
      <c r="D1" s="25"/>
    </row>
    <row r="2" spans="1:5" x14ac:dyDescent="0.3">
      <c r="A2" s="33" t="s">
        <v>428</v>
      </c>
      <c r="B2" s="34"/>
      <c r="C2" s="35"/>
      <c r="D2" s="35"/>
    </row>
    <row r="3" spans="1:5" x14ac:dyDescent="0.3">
      <c r="A3" s="33" t="s">
        <v>429</v>
      </c>
      <c r="B3" s="34"/>
      <c r="C3" s="35"/>
      <c r="D3" s="35"/>
    </row>
    <row r="4" spans="1:5" x14ac:dyDescent="0.3">
      <c r="A4" s="33" t="s">
        <v>433</v>
      </c>
      <c r="B4" s="34"/>
      <c r="C4" s="35"/>
      <c r="D4" s="35"/>
    </row>
    <row r="5" spans="1:5" x14ac:dyDescent="0.3">
      <c r="A5" s="26"/>
      <c r="B5" s="27"/>
      <c r="C5" s="25"/>
      <c r="D5" s="25"/>
    </row>
    <row r="6" spans="1:5" x14ac:dyDescent="0.3">
      <c r="A6" s="36" t="s">
        <v>434</v>
      </c>
      <c r="B6" s="37"/>
      <c r="C6" s="28"/>
      <c r="D6" s="28"/>
    </row>
    <row r="7" spans="1:5" ht="15.75" customHeight="1" x14ac:dyDescent="0.3">
      <c r="A7" s="36" t="s">
        <v>430</v>
      </c>
      <c r="B7" s="37"/>
      <c r="C7" s="29"/>
      <c r="D7" s="29"/>
    </row>
    <row r="8" spans="1:5" ht="15.75" customHeight="1" x14ac:dyDescent="0.3">
      <c r="A8" s="36" t="s">
        <v>431</v>
      </c>
      <c r="B8" s="38"/>
      <c r="C8" s="29"/>
      <c r="D8" s="29"/>
    </row>
    <row r="9" spans="1:5" ht="12" customHeight="1" x14ac:dyDescent="0.3">
      <c r="A9" s="39"/>
      <c r="B9" s="40"/>
      <c r="C9" s="30"/>
      <c r="D9" s="30" t="s">
        <v>432</v>
      </c>
    </row>
    <row r="10" spans="1:5" ht="41.25" customHeight="1" x14ac:dyDescent="0.3">
      <c r="A10" s="2" t="s">
        <v>347</v>
      </c>
      <c r="B10" s="2" t="s">
        <v>0</v>
      </c>
      <c r="C10" s="2" t="s">
        <v>1</v>
      </c>
      <c r="D10" s="2" t="s">
        <v>346</v>
      </c>
    </row>
    <row r="11" spans="1:5" ht="28.2" customHeight="1" x14ac:dyDescent="0.3">
      <c r="A11" s="5" t="s">
        <v>2</v>
      </c>
      <c r="B11" s="6" t="s">
        <v>3</v>
      </c>
      <c r="C11" s="17">
        <f>C12+C19+C38+C47+C56</f>
        <v>808501.91894999996</v>
      </c>
      <c r="D11" s="17">
        <f t="shared" ref="D11" si="0">D12+D19+D38+D47+D56</f>
        <v>822291.3489499999</v>
      </c>
    </row>
    <row r="12" spans="1:5" ht="26.4" outlineLevel="1" x14ac:dyDescent="0.3">
      <c r="A12" s="3" t="s">
        <v>376</v>
      </c>
      <c r="B12" s="4" t="s">
        <v>4</v>
      </c>
      <c r="C12" s="18">
        <f t="shared" ref="C12:D12" si="1">C13</f>
        <v>265448.26899999997</v>
      </c>
      <c r="D12" s="18">
        <f t="shared" si="1"/>
        <v>267452.50699999998</v>
      </c>
    </row>
    <row r="13" spans="1:5" ht="26.4" outlineLevel="2" x14ac:dyDescent="0.3">
      <c r="A13" s="3" t="s">
        <v>388</v>
      </c>
      <c r="B13" s="4" t="s">
        <v>5</v>
      </c>
      <c r="C13" s="18">
        <f>C14+C15+C16+C17+C18</f>
        <v>265448.26899999997</v>
      </c>
      <c r="D13" s="18">
        <f t="shared" ref="D13" si="2">D14+D15+D16+D17+D18</f>
        <v>267452.50699999998</v>
      </c>
    </row>
    <row r="14" spans="1:5" ht="28.2" customHeight="1" outlineLevel="3" x14ac:dyDescent="0.3">
      <c r="A14" s="3" t="s">
        <v>6</v>
      </c>
      <c r="B14" s="4" t="s">
        <v>7</v>
      </c>
      <c r="C14" s="19">
        <f>(88502406-5000000-3500000-3464163)/1000</f>
        <v>76538.243000000002</v>
      </c>
      <c r="D14" s="19">
        <f>(88502406-10000000-10312508)/1000</f>
        <v>68189.898000000001</v>
      </c>
      <c r="E14" s="10"/>
    </row>
    <row r="15" spans="1:5" ht="0.6" hidden="1" customHeight="1" outlineLevel="3" x14ac:dyDescent="0.3">
      <c r="A15" s="3" t="s">
        <v>8</v>
      </c>
      <c r="B15" s="4" t="s">
        <v>9</v>
      </c>
      <c r="C15" s="19">
        <v>0</v>
      </c>
      <c r="D15" s="19">
        <v>0</v>
      </c>
    </row>
    <row r="16" spans="1:5" ht="39.6" outlineLevel="3" x14ac:dyDescent="0.3">
      <c r="A16" s="3" t="s">
        <v>10</v>
      </c>
      <c r="B16" s="4" t="s">
        <v>11</v>
      </c>
      <c r="C16" s="19">
        <f>180560917/1000</f>
        <v>180560.91699999999</v>
      </c>
      <c r="D16" s="19">
        <f>190913500/1000</f>
        <v>190913.5</v>
      </c>
    </row>
    <row r="17" spans="1:5" ht="40.799999999999997" customHeight="1" outlineLevel="3" x14ac:dyDescent="0.3">
      <c r="A17" s="3" t="s">
        <v>12</v>
      </c>
      <c r="B17" s="4" t="s">
        <v>13</v>
      </c>
      <c r="C17" s="19">
        <f>7849109/1000</f>
        <v>7849.1090000000004</v>
      </c>
      <c r="D17" s="19">
        <f>7849109/1000</f>
        <v>7849.1090000000004</v>
      </c>
    </row>
    <row r="18" spans="1:5" ht="39.6" outlineLevel="3" x14ac:dyDescent="0.3">
      <c r="A18" s="3" t="s">
        <v>14</v>
      </c>
      <c r="B18" s="4" t="s">
        <v>15</v>
      </c>
      <c r="C18" s="19">
        <f>500000/1000</f>
        <v>500</v>
      </c>
      <c r="D18" s="19">
        <f>500000/1000</f>
        <v>500</v>
      </c>
    </row>
    <row r="19" spans="1:5" ht="26.4" outlineLevel="1" x14ac:dyDescent="0.3">
      <c r="A19" s="3" t="s">
        <v>377</v>
      </c>
      <c r="B19" s="4" t="s">
        <v>16</v>
      </c>
      <c r="C19" s="18">
        <f t="shared" ref="C19:D19" si="3">C20+C28+C33+C35</f>
        <v>499030.80695</v>
      </c>
      <c r="D19" s="18">
        <f t="shared" si="3"/>
        <v>512815.99894999992</v>
      </c>
    </row>
    <row r="20" spans="1:5" ht="26.4" outlineLevel="2" x14ac:dyDescent="0.3">
      <c r="A20" s="3" t="s">
        <v>389</v>
      </c>
      <c r="B20" s="4" t="s">
        <v>17</v>
      </c>
      <c r="C20" s="18">
        <f t="shared" ref="C20:D20" si="4">C21+C22+C23+C24+C25+C27</f>
        <v>495762.55800000002</v>
      </c>
      <c r="D20" s="18">
        <f t="shared" si="4"/>
        <v>509547.74999999994</v>
      </c>
    </row>
    <row r="21" spans="1:5" outlineLevel="3" x14ac:dyDescent="0.3">
      <c r="A21" s="3" t="s">
        <v>18</v>
      </c>
      <c r="B21" s="4" t="s">
        <v>19</v>
      </c>
      <c r="C21" s="19">
        <f>45000/1000</f>
        <v>45</v>
      </c>
      <c r="D21" s="19">
        <f>45000/1000</f>
        <v>45</v>
      </c>
    </row>
    <row r="22" spans="1:5" ht="26.4" outlineLevel="3" x14ac:dyDescent="0.3">
      <c r="A22" s="3" t="s">
        <v>20</v>
      </c>
      <c r="B22" s="4" t="s">
        <v>21</v>
      </c>
      <c r="C22" s="19">
        <f>27963000/1000</f>
        <v>27963</v>
      </c>
      <c r="D22" s="19">
        <f>27963000/1000</f>
        <v>27963</v>
      </c>
    </row>
    <row r="23" spans="1:5" ht="28.8" customHeight="1" outlineLevel="3" x14ac:dyDescent="0.3">
      <c r="A23" s="3" t="s">
        <v>6</v>
      </c>
      <c r="B23" s="4" t="s">
        <v>22</v>
      </c>
      <c r="C23" s="19">
        <f>(118299573-5000000-7000000)/1000</f>
        <v>106299.573</v>
      </c>
      <c r="D23" s="19">
        <f>(118299573-8000000-10000000)/1000</f>
        <v>100299.573</v>
      </c>
      <c r="E23" s="10"/>
    </row>
    <row r="24" spans="1:5" ht="52.8" outlineLevel="3" x14ac:dyDescent="0.3">
      <c r="A24" s="3" t="s">
        <v>23</v>
      </c>
      <c r="B24" s="4" t="s">
        <v>24</v>
      </c>
      <c r="C24" s="19">
        <f>332879685/1000</f>
        <v>332879.685</v>
      </c>
      <c r="D24" s="19">
        <f>352664877/1000</f>
        <v>352664.87699999998</v>
      </c>
    </row>
    <row r="25" spans="1:5" ht="29.4" customHeight="1" outlineLevel="3" x14ac:dyDescent="0.3">
      <c r="A25" s="3" t="s">
        <v>25</v>
      </c>
      <c r="B25" s="4" t="s">
        <v>26</v>
      </c>
      <c r="C25" s="19">
        <f>9630500/1000</f>
        <v>9630.5</v>
      </c>
      <c r="D25" s="19">
        <f>9630500/1000</f>
        <v>9630.5</v>
      </c>
    </row>
    <row r="26" spans="1:5" ht="54.6" hidden="1" customHeight="1" outlineLevel="3" x14ac:dyDescent="0.3">
      <c r="A26" s="3" t="s">
        <v>27</v>
      </c>
      <c r="B26" s="4" t="s">
        <v>28</v>
      </c>
      <c r="C26" s="19">
        <v>0</v>
      </c>
      <c r="D26" s="19">
        <v>0</v>
      </c>
    </row>
    <row r="27" spans="1:5" ht="39.6" outlineLevel="3" x14ac:dyDescent="0.3">
      <c r="A27" s="3" t="s">
        <v>375</v>
      </c>
      <c r="B27" s="4" t="s">
        <v>374</v>
      </c>
      <c r="C27" s="19">
        <f>18944800/1000</f>
        <v>18944.8</v>
      </c>
      <c r="D27" s="19">
        <f>18944800/1000</f>
        <v>18944.8</v>
      </c>
    </row>
    <row r="28" spans="1:5" ht="26.4" outlineLevel="2" x14ac:dyDescent="0.3">
      <c r="A28" s="3" t="s">
        <v>390</v>
      </c>
      <c r="B28" s="4" t="s">
        <v>29</v>
      </c>
      <c r="C28" s="18">
        <f t="shared" ref="C28:D28" si="5">C29+C30+C31+C32</f>
        <v>291.25</v>
      </c>
      <c r="D28" s="18">
        <f t="shared" si="5"/>
        <v>291.25</v>
      </c>
    </row>
    <row r="29" spans="1:5" ht="52.8" hidden="1" outlineLevel="3" x14ac:dyDescent="0.3">
      <c r="A29" s="3" t="s">
        <v>30</v>
      </c>
      <c r="B29" s="4" t="s">
        <v>31</v>
      </c>
      <c r="C29" s="19">
        <v>0</v>
      </c>
      <c r="D29" s="19">
        <v>0</v>
      </c>
      <c r="E29" s="10"/>
    </row>
    <row r="30" spans="1:5" ht="26.4" hidden="1" outlineLevel="3" x14ac:dyDescent="0.3">
      <c r="A30" s="3" t="s">
        <v>32</v>
      </c>
      <c r="B30" s="4" t="s">
        <v>33</v>
      </c>
      <c r="C30" s="19">
        <v>0</v>
      </c>
      <c r="D30" s="19">
        <v>0</v>
      </c>
    </row>
    <row r="31" spans="1:5" ht="39.6" hidden="1" outlineLevel="3" x14ac:dyDescent="0.3">
      <c r="A31" s="3" t="s">
        <v>34</v>
      </c>
      <c r="B31" s="4" t="s">
        <v>35</v>
      </c>
      <c r="C31" s="19">
        <v>0</v>
      </c>
      <c r="D31" s="19">
        <v>0</v>
      </c>
      <c r="E31" s="10"/>
    </row>
    <row r="32" spans="1:5" ht="30" customHeight="1" outlineLevel="3" x14ac:dyDescent="0.3">
      <c r="A32" s="3" t="s">
        <v>36</v>
      </c>
      <c r="B32" s="4" t="s">
        <v>37</v>
      </c>
      <c r="C32" s="19">
        <f>291250/1000</f>
        <v>291.25</v>
      </c>
      <c r="D32" s="19">
        <f>291250/1000</f>
        <v>291.25</v>
      </c>
    </row>
    <row r="33" spans="1:5" ht="28.8" customHeight="1" outlineLevel="2" x14ac:dyDescent="0.3">
      <c r="A33" s="3" t="s">
        <v>38</v>
      </c>
      <c r="B33" s="4" t="s">
        <v>39</v>
      </c>
      <c r="C33" s="18">
        <f t="shared" ref="C33:D33" si="6">C34</f>
        <v>1860</v>
      </c>
      <c r="D33" s="18">
        <f t="shared" si="6"/>
        <v>1860</v>
      </c>
    </row>
    <row r="34" spans="1:5" ht="44.4" customHeight="1" outlineLevel="3" x14ac:dyDescent="0.3">
      <c r="A34" s="3" t="s">
        <v>40</v>
      </c>
      <c r="B34" s="4" t="s">
        <v>41</v>
      </c>
      <c r="C34" s="19">
        <f>1860000/1000</f>
        <v>1860</v>
      </c>
      <c r="D34" s="19">
        <f>1860000/1000</f>
        <v>1860</v>
      </c>
    </row>
    <row r="35" spans="1:5" ht="55.2" customHeight="1" outlineLevel="2" x14ac:dyDescent="0.3">
      <c r="A35" s="3" t="s">
        <v>42</v>
      </c>
      <c r="B35" s="4" t="s">
        <v>43</v>
      </c>
      <c r="C35" s="18">
        <f t="shared" ref="C35:D35" si="7">C36+C37</f>
        <v>1116.9989499999999</v>
      </c>
      <c r="D35" s="18">
        <f t="shared" si="7"/>
        <v>1116.9989499999999</v>
      </c>
    </row>
    <row r="36" spans="1:5" ht="39.6" outlineLevel="3" x14ac:dyDescent="0.3">
      <c r="A36" s="3" t="s">
        <v>44</v>
      </c>
      <c r="B36" s="4" t="s">
        <v>45</v>
      </c>
      <c r="C36" s="19">
        <f>(1115645.95+1353)/1000</f>
        <v>1116.9989499999999</v>
      </c>
      <c r="D36" s="19">
        <f>(1115645.95+1353)/1000</f>
        <v>1116.9989499999999</v>
      </c>
    </row>
    <row r="37" spans="1:5" ht="41.4" hidden="1" customHeight="1" outlineLevel="3" x14ac:dyDescent="0.3">
      <c r="A37" s="3" t="s">
        <v>46</v>
      </c>
      <c r="B37" s="4" t="s">
        <v>47</v>
      </c>
      <c r="C37" s="19">
        <v>0</v>
      </c>
      <c r="D37" s="19">
        <v>0</v>
      </c>
    </row>
    <row r="38" spans="1:5" ht="26.4" outlineLevel="1" collapsed="1" x14ac:dyDescent="0.3">
      <c r="A38" s="3" t="s">
        <v>378</v>
      </c>
      <c r="B38" s="4" t="s">
        <v>48</v>
      </c>
      <c r="C38" s="18">
        <f t="shared" ref="C38:D38" si="8">C39+C42</f>
        <v>22932.953999999998</v>
      </c>
      <c r="D38" s="18">
        <f t="shared" si="8"/>
        <v>20932.953999999998</v>
      </c>
    </row>
    <row r="39" spans="1:5" ht="26.4" outlineLevel="2" x14ac:dyDescent="0.3">
      <c r="A39" s="3" t="s">
        <v>391</v>
      </c>
      <c r="B39" s="4" t="s">
        <v>49</v>
      </c>
      <c r="C39" s="18">
        <f t="shared" ref="C39:D39" si="9">C40+C41</f>
        <v>18372.266</v>
      </c>
      <c r="D39" s="18">
        <f t="shared" si="9"/>
        <v>16372.266</v>
      </c>
    </row>
    <row r="40" spans="1:5" outlineLevel="3" x14ac:dyDescent="0.3">
      <c r="A40" s="3" t="s">
        <v>50</v>
      </c>
      <c r="B40" s="4" t="s">
        <v>51</v>
      </c>
      <c r="C40" s="19">
        <f>300000/1000</f>
        <v>300</v>
      </c>
      <c r="D40" s="19">
        <f>300000/1000</f>
        <v>300</v>
      </c>
    </row>
    <row r="41" spans="1:5" ht="27" customHeight="1" outlineLevel="3" x14ac:dyDescent="0.3">
      <c r="A41" s="3" t="s">
        <v>6</v>
      </c>
      <c r="B41" s="4" t="s">
        <v>52</v>
      </c>
      <c r="C41" s="19">
        <f>(28072266-10000000)/1000</f>
        <v>18072.266</v>
      </c>
      <c r="D41" s="19">
        <f>(28072266-10000000-2000000)/1000</f>
        <v>16072.266</v>
      </c>
      <c r="E41" s="10"/>
    </row>
    <row r="42" spans="1:5" ht="26.4" outlineLevel="2" x14ac:dyDescent="0.3">
      <c r="A42" s="3" t="s">
        <v>392</v>
      </c>
      <c r="B42" s="4" t="s">
        <v>53</v>
      </c>
      <c r="C42" s="18">
        <f t="shared" ref="C42:D42" si="10">C43+C44+C45+C46</f>
        <v>4560.6880000000001</v>
      </c>
      <c r="D42" s="18">
        <f t="shared" si="10"/>
        <v>4560.6880000000001</v>
      </c>
    </row>
    <row r="43" spans="1:5" ht="26.4" outlineLevel="3" x14ac:dyDescent="0.3">
      <c r="A43" s="3" t="s">
        <v>54</v>
      </c>
      <c r="B43" s="4" t="s">
        <v>55</v>
      </c>
      <c r="C43" s="19">
        <f>175000/1000</f>
        <v>175</v>
      </c>
      <c r="D43" s="19">
        <f>175000/1000</f>
        <v>175</v>
      </c>
    </row>
    <row r="44" spans="1:5" ht="26.4" outlineLevel="3" x14ac:dyDescent="0.3">
      <c r="A44" s="3" t="s">
        <v>56</v>
      </c>
      <c r="B44" s="4" t="s">
        <v>57</v>
      </c>
      <c r="C44" s="19">
        <f>1082000/1000</f>
        <v>1082</v>
      </c>
      <c r="D44" s="19">
        <f>1082000/1000</f>
        <v>1082</v>
      </c>
    </row>
    <row r="45" spans="1:5" ht="26.4" outlineLevel="3" x14ac:dyDescent="0.3">
      <c r="A45" s="3" t="s">
        <v>58</v>
      </c>
      <c r="B45" s="4" t="s">
        <v>59</v>
      </c>
      <c r="C45" s="19">
        <f>25000/1000</f>
        <v>25</v>
      </c>
      <c r="D45" s="19">
        <f>25000/1000</f>
        <v>25</v>
      </c>
    </row>
    <row r="46" spans="1:5" ht="39.6" outlineLevel="3" x14ac:dyDescent="0.3">
      <c r="A46" s="3" t="s">
        <v>60</v>
      </c>
      <c r="B46" s="4" t="s">
        <v>61</v>
      </c>
      <c r="C46" s="19">
        <f>3278688/1000</f>
        <v>3278.6880000000001</v>
      </c>
      <c r="D46" s="19">
        <f>3278688/1000</f>
        <v>3278.6880000000001</v>
      </c>
    </row>
    <row r="47" spans="1:5" ht="26.4" outlineLevel="1" x14ac:dyDescent="0.3">
      <c r="A47" s="3" t="s">
        <v>379</v>
      </c>
      <c r="B47" s="4" t="s">
        <v>62</v>
      </c>
      <c r="C47" s="18">
        <f t="shared" ref="C47:D47" si="11">C48+C51+C54</f>
        <v>16589.888999999999</v>
      </c>
      <c r="D47" s="18">
        <f t="shared" si="11"/>
        <v>16589.888999999999</v>
      </c>
    </row>
    <row r="48" spans="1:5" ht="26.4" outlineLevel="2" x14ac:dyDescent="0.3">
      <c r="A48" s="3" t="s">
        <v>393</v>
      </c>
      <c r="B48" s="4" t="s">
        <v>63</v>
      </c>
      <c r="C48" s="18">
        <f t="shared" ref="C48:D48" si="12">C49+C50</f>
        <v>16153.674999999999</v>
      </c>
      <c r="D48" s="18">
        <f t="shared" si="12"/>
        <v>16153.674999999999</v>
      </c>
    </row>
    <row r="49" spans="1:5" ht="27.6" customHeight="1" outlineLevel="3" x14ac:dyDescent="0.3">
      <c r="A49" s="3" t="s">
        <v>64</v>
      </c>
      <c r="B49" s="4" t="s">
        <v>65</v>
      </c>
      <c r="C49" s="19">
        <f>(7116773-2000000)/1000</f>
        <v>5116.7730000000001</v>
      </c>
      <c r="D49" s="19">
        <f>(7116773-2000000)/1000</f>
        <v>5116.7730000000001</v>
      </c>
      <c r="E49" s="10"/>
    </row>
    <row r="50" spans="1:5" ht="27.6" customHeight="1" outlineLevel="3" x14ac:dyDescent="0.3">
      <c r="A50" s="3" t="s">
        <v>6</v>
      </c>
      <c r="B50" s="4" t="s">
        <v>66</v>
      </c>
      <c r="C50" s="19">
        <f>(13036902-2000000)/1000</f>
        <v>11036.902</v>
      </c>
      <c r="D50" s="19">
        <f>(13036902-2000000)/1000</f>
        <v>11036.902</v>
      </c>
      <c r="E50" s="10"/>
    </row>
    <row r="51" spans="1:5" outlineLevel="2" x14ac:dyDescent="0.3">
      <c r="A51" s="3" t="s">
        <v>394</v>
      </c>
      <c r="B51" s="4" t="s">
        <v>67</v>
      </c>
      <c r="C51" s="18">
        <f t="shared" ref="C51:D51" si="13">C52+C53</f>
        <v>350</v>
      </c>
      <c r="D51" s="18">
        <f t="shared" si="13"/>
        <v>350</v>
      </c>
    </row>
    <row r="52" spans="1:5" outlineLevel="3" x14ac:dyDescent="0.3">
      <c r="A52" s="3" t="s">
        <v>68</v>
      </c>
      <c r="B52" s="4" t="s">
        <v>69</v>
      </c>
      <c r="C52" s="19">
        <f>250000/1000</f>
        <v>250</v>
      </c>
      <c r="D52" s="19">
        <f>250000/1000</f>
        <v>250</v>
      </c>
    </row>
    <row r="53" spans="1:5" outlineLevel="3" x14ac:dyDescent="0.3">
      <c r="A53" s="3" t="s">
        <v>70</v>
      </c>
      <c r="B53" s="4" t="s">
        <v>71</v>
      </c>
      <c r="C53" s="19">
        <f>100000/1000</f>
        <v>100</v>
      </c>
      <c r="D53" s="19">
        <f>100000/1000</f>
        <v>100</v>
      </c>
    </row>
    <row r="54" spans="1:5" outlineLevel="2" x14ac:dyDescent="0.3">
      <c r="A54" s="3" t="s">
        <v>395</v>
      </c>
      <c r="B54" s="4" t="s">
        <v>72</v>
      </c>
      <c r="C54" s="18">
        <f t="shared" ref="C54:D54" si="14">C55</f>
        <v>86.213999999999999</v>
      </c>
      <c r="D54" s="18">
        <f t="shared" si="14"/>
        <v>86.213999999999999</v>
      </c>
    </row>
    <row r="55" spans="1:5" outlineLevel="3" x14ac:dyDescent="0.3">
      <c r="A55" s="3" t="s">
        <v>73</v>
      </c>
      <c r="B55" s="4" t="s">
        <v>74</v>
      </c>
      <c r="C55" s="19">
        <f>86214/1000</f>
        <v>86.213999999999999</v>
      </c>
      <c r="D55" s="19">
        <f>86214/1000</f>
        <v>86.213999999999999</v>
      </c>
    </row>
    <row r="56" spans="1:5" ht="26.4" outlineLevel="1" x14ac:dyDescent="0.3">
      <c r="A56" s="3" t="s">
        <v>380</v>
      </c>
      <c r="B56" s="4" t="s">
        <v>75</v>
      </c>
      <c r="C56" s="18">
        <f t="shared" ref="C56:D56" si="15">C57</f>
        <v>4500</v>
      </c>
      <c r="D56" s="18">
        <f t="shared" si="15"/>
        <v>4500</v>
      </c>
    </row>
    <row r="57" spans="1:5" ht="26.4" outlineLevel="2" x14ac:dyDescent="0.3">
      <c r="A57" s="3" t="s">
        <v>396</v>
      </c>
      <c r="B57" s="4" t="s">
        <v>76</v>
      </c>
      <c r="C57" s="18">
        <f t="shared" ref="C57:D57" si="16">C58</f>
        <v>4500</v>
      </c>
      <c r="D57" s="18">
        <f t="shared" si="16"/>
        <v>4500</v>
      </c>
    </row>
    <row r="58" spans="1:5" ht="26.4" outlineLevel="3" x14ac:dyDescent="0.3">
      <c r="A58" s="3" t="s">
        <v>77</v>
      </c>
      <c r="B58" s="4" t="s">
        <v>78</v>
      </c>
      <c r="C58" s="19">
        <f>4500000/1000</f>
        <v>4500</v>
      </c>
      <c r="D58" s="19">
        <f>4500000/1000</f>
        <v>4500</v>
      </c>
      <c r="E58" s="10"/>
    </row>
    <row r="59" spans="1:5" ht="26.4" x14ac:dyDescent="0.3">
      <c r="A59" s="5" t="s">
        <v>79</v>
      </c>
      <c r="B59" s="6" t="s">
        <v>80</v>
      </c>
      <c r="C59" s="20">
        <f t="shared" ref="C59:D60" si="17">C60</f>
        <v>500</v>
      </c>
      <c r="D59" s="20">
        <f t="shared" si="17"/>
        <v>500</v>
      </c>
    </row>
    <row r="60" spans="1:5" ht="26.4" outlineLevel="2" x14ac:dyDescent="0.3">
      <c r="A60" s="3" t="s">
        <v>81</v>
      </c>
      <c r="B60" s="4" t="s">
        <v>82</v>
      </c>
      <c r="C60" s="19">
        <f t="shared" si="17"/>
        <v>500</v>
      </c>
      <c r="D60" s="19">
        <f t="shared" si="17"/>
        <v>500</v>
      </c>
    </row>
    <row r="61" spans="1:5" ht="26.4" outlineLevel="3" x14ac:dyDescent="0.3">
      <c r="A61" s="3" t="s">
        <v>83</v>
      </c>
      <c r="B61" s="4" t="s">
        <v>84</v>
      </c>
      <c r="C61" s="19">
        <f>500000/1000</f>
        <v>500</v>
      </c>
      <c r="D61" s="19">
        <f>500000/1000</f>
        <v>500</v>
      </c>
    </row>
    <row r="62" spans="1:5" ht="26.4" x14ac:dyDescent="0.3">
      <c r="A62" s="5" t="s">
        <v>85</v>
      </c>
      <c r="B62" s="6" t="s">
        <v>86</v>
      </c>
      <c r="C62" s="17">
        <f t="shared" ref="C62:D62" si="18">C63+C79+C82+C85+C88</f>
        <v>53507.153280000006</v>
      </c>
      <c r="D62" s="17">
        <f t="shared" si="18"/>
        <v>51477.153280000006</v>
      </c>
    </row>
    <row r="63" spans="1:5" ht="29.4" customHeight="1" outlineLevel="2" x14ac:dyDescent="0.3">
      <c r="A63" s="3" t="s">
        <v>397</v>
      </c>
      <c r="B63" s="4" t="s">
        <v>87</v>
      </c>
      <c r="C63" s="18">
        <f t="shared" ref="C63:D63" si="19">C64+C65+C66+C67+C68+C69+C70+C71+C72+C73+C74+C75+C76+C77+C78</f>
        <v>27537.245279999999</v>
      </c>
      <c r="D63" s="18">
        <f t="shared" si="19"/>
        <v>27537.245279999999</v>
      </c>
    </row>
    <row r="64" spans="1:5" ht="28.2" customHeight="1" outlineLevel="3" x14ac:dyDescent="0.3">
      <c r="A64" s="3" t="s">
        <v>6</v>
      </c>
      <c r="B64" s="4" t="s">
        <v>88</v>
      </c>
      <c r="C64" s="19">
        <f>1890911/1000</f>
        <v>1890.9110000000001</v>
      </c>
      <c r="D64" s="19">
        <f>1890911/1000</f>
        <v>1890.9110000000001</v>
      </c>
      <c r="E64" s="10"/>
    </row>
    <row r="65" spans="1:5" ht="52.8" hidden="1" outlineLevel="3" x14ac:dyDescent="0.3">
      <c r="A65" s="3" t="s">
        <v>30</v>
      </c>
      <c r="B65" s="4" t="s">
        <v>89</v>
      </c>
      <c r="C65" s="19">
        <v>0</v>
      </c>
      <c r="D65" s="19">
        <v>0</v>
      </c>
      <c r="E65" s="10"/>
    </row>
    <row r="66" spans="1:5" ht="26.4" outlineLevel="3" x14ac:dyDescent="0.3">
      <c r="A66" s="3" t="s">
        <v>90</v>
      </c>
      <c r="B66" s="4" t="s">
        <v>91</v>
      </c>
      <c r="C66" s="19">
        <f>(10739112-2000000)/1000</f>
        <v>8739.1119999999992</v>
      </c>
      <c r="D66" s="19">
        <f>(10739112-2000000)/1000</f>
        <v>8739.1119999999992</v>
      </c>
      <c r="E66" s="10"/>
    </row>
    <row r="67" spans="1:5" ht="25.8" customHeight="1" outlineLevel="3" x14ac:dyDescent="0.3">
      <c r="A67" s="3" t="s">
        <v>362</v>
      </c>
      <c r="B67" s="13" t="s">
        <v>365</v>
      </c>
      <c r="C67" s="19">
        <f>(11443531-3000000)/1000</f>
        <v>8443.5310000000009</v>
      </c>
      <c r="D67" s="19">
        <f>(11443531-3000000)/1000</f>
        <v>8443.5310000000009</v>
      </c>
      <c r="E67" s="10"/>
    </row>
    <row r="68" spans="1:5" ht="39.6" hidden="1" outlineLevel="3" x14ac:dyDescent="0.3">
      <c r="A68" s="3" t="s">
        <v>92</v>
      </c>
      <c r="B68" s="4" t="s">
        <v>93</v>
      </c>
      <c r="C68" s="19">
        <v>0</v>
      </c>
      <c r="D68" s="19">
        <v>0</v>
      </c>
    </row>
    <row r="69" spans="1:5" ht="39.6" hidden="1" outlineLevel="3" x14ac:dyDescent="0.3">
      <c r="A69" s="3" t="s">
        <v>94</v>
      </c>
      <c r="B69" s="4" t="s">
        <v>95</v>
      </c>
      <c r="C69" s="19">
        <v>0</v>
      </c>
      <c r="D69" s="19">
        <v>0</v>
      </c>
    </row>
    <row r="70" spans="1:5" ht="39.6" hidden="1" outlineLevel="3" x14ac:dyDescent="0.3">
      <c r="A70" s="3" t="s">
        <v>96</v>
      </c>
      <c r="B70" s="4" t="s">
        <v>97</v>
      </c>
      <c r="C70" s="19">
        <v>0</v>
      </c>
      <c r="D70" s="19">
        <v>0</v>
      </c>
    </row>
    <row r="71" spans="1:5" ht="26.4" hidden="1" customHeight="1" outlineLevel="3" x14ac:dyDescent="0.3">
      <c r="A71" s="3" t="s">
        <v>370</v>
      </c>
      <c r="B71" s="13" t="s">
        <v>371</v>
      </c>
      <c r="C71" s="19">
        <v>0</v>
      </c>
      <c r="D71" s="19">
        <v>0</v>
      </c>
      <c r="E71" s="10"/>
    </row>
    <row r="72" spans="1:5" ht="26.4" outlineLevel="3" x14ac:dyDescent="0.3">
      <c r="A72" s="3" t="s">
        <v>98</v>
      </c>
      <c r="B72" s="4" t="s">
        <v>99</v>
      </c>
      <c r="C72" s="19">
        <f>168005/1000</f>
        <v>168.005</v>
      </c>
      <c r="D72" s="19">
        <f>168005/1000</f>
        <v>168.005</v>
      </c>
    </row>
    <row r="73" spans="1:5" ht="26.4" outlineLevel="3" x14ac:dyDescent="0.3">
      <c r="A73" s="3" t="s">
        <v>100</v>
      </c>
      <c r="B73" s="4" t="s">
        <v>101</v>
      </c>
      <c r="C73" s="19">
        <f>(7385040.28+8952)/1000</f>
        <v>7393.9922800000004</v>
      </c>
      <c r="D73" s="19">
        <f>(7385040.28+8952)/1000</f>
        <v>7393.9922800000004</v>
      </c>
      <c r="E73" s="10"/>
    </row>
    <row r="74" spans="1:5" ht="54.6" customHeight="1" outlineLevel="3" x14ac:dyDescent="0.3">
      <c r="A74" s="3" t="s">
        <v>102</v>
      </c>
      <c r="B74" s="4" t="s">
        <v>103</v>
      </c>
      <c r="C74" s="19">
        <f>860000/1000</f>
        <v>860</v>
      </c>
      <c r="D74" s="19">
        <f>860000/1000</f>
        <v>860</v>
      </c>
      <c r="E74" s="10"/>
    </row>
    <row r="75" spans="1:5" ht="0.6" hidden="1" customHeight="1" outlineLevel="3" x14ac:dyDescent="0.3">
      <c r="A75" s="3" t="s">
        <v>104</v>
      </c>
      <c r="B75" s="4" t="s">
        <v>105</v>
      </c>
      <c r="C75" s="19">
        <v>0</v>
      </c>
      <c r="D75" s="19">
        <v>0</v>
      </c>
    </row>
    <row r="76" spans="1:5" ht="52.8" hidden="1" outlineLevel="3" x14ac:dyDescent="0.3">
      <c r="A76" s="3" t="s">
        <v>106</v>
      </c>
      <c r="B76" s="4" t="s">
        <v>107</v>
      </c>
      <c r="C76" s="19">
        <v>0</v>
      </c>
      <c r="D76" s="19">
        <v>0</v>
      </c>
    </row>
    <row r="77" spans="1:5" ht="39.6" outlineLevel="3" x14ac:dyDescent="0.3">
      <c r="A77" s="3" t="s">
        <v>373</v>
      </c>
      <c r="B77" s="13" t="s">
        <v>372</v>
      </c>
      <c r="C77" s="19">
        <f>39996/1000</f>
        <v>39.996000000000002</v>
      </c>
      <c r="D77" s="19">
        <f>39996/1000</f>
        <v>39.996000000000002</v>
      </c>
      <c r="E77" s="10"/>
    </row>
    <row r="78" spans="1:5" ht="39.6" outlineLevel="3" x14ac:dyDescent="0.3">
      <c r="A78" s="3" t="s">
        <v>108</v>
      </c>
      <c r="B78" s="4" t="s">
        <v>109</v>
      </c>
      <c r="C78" s="19">
        <f>1698/1000</f>
        <v>1.698</v>
      </c>
      <c r="D78" s="19">
        <f>1698/1000</f>
        <v>1.698</v>
      </c>
      <c r="E78" s="10"/>
    </row>
    <row r="79" spans="1:5" ht="26.4" outlineLevel="2" x14ac:dyDescent="0.3">
      <c r="A79" s="3" t="s">
        <v>398</v>
      </c>
      <c r="B79" s="4" t="s">
        <v>110</v>
      </c>
      <c r="C79" s="18">
        <f t="shared" ref="C79:D79" si="20">C80+C81</f>
        <v>20334.667000000001</v>
      </c>
      <c r="D79" s="18">
        <f t="shared" si="20"/>
        <v>18334.667000000001</v>
      </c>
    </row>
    <row r="80" spans="1:5" ht="27" customHeight="1" outlineLevel="3" x14ac:dyDescent="0.3">
      <c r="A80" s="3" t="s">
        <v>6</v>
      </c>
      <c r="B80" s="4" t="s">
        <v>111</v>
      </c>
      <c r="C80" s="19">
        <f>(27334667-7000000)/1000</f>
        <v>20334.667000000001</v>
      </c>
      <c r="D80" s="19">
        <f>(27334667-7000000-2000000)/1000</f>
        <v>18334.667000000001</v>
      </c>
      <c r="E80" s="10"/>
    </row>
    <row r="81" spans="1:5" ht="52.8" hidden="1" outlineLevel="3" x14ac:dyDescent="0.3">
      <c r="A81" s="3" t="s">
        <v>112</v>
      </c>
      <c r="B81" s="4" t="s">
        <v>113</v>
      </c>
      <c r="C81" s="19">
        <v>0</v>
      </c>
      <c r="D81" s="19">
        <v>0</v>
      </c>
    </row>
    <row r="82" spans="1:5" ht="26.4" outlineLevel="2" collapsed="1" x14ac:dyDescent="0.3">
      <c r="A82" s="3" t="s">
        <v>399</v>
      </c>
      <c r="B82" s="4" t="s">
        <v>114</v>
      </c>
      <c r="C82" s="18">
        <f t="shared" ref="C82:D82" si="21">C83+C84</f>
        <v>365</v>
      </c>
      <c r="D82" s="18">
        <f t="shared" si="21"/>
        <v>365</v>
      </c>
    </row>
    <row r="83" spans="1:5" ht="39.6" outlineLevel="3" x14ac:dyDescent="0.3">
      <c r="A83" s="3" t="s">
        <v>115</v>
      </c>
      <c r="B83" s="4" t="s">
        <v>116</v>
      </c>
      <c r="C83" s="19">
        <f>240000/1000</f>
        <v>240</v>
      </c>
      <c r="D83" s="19">
        <f>240000/1000</f>
        <v>240</v>
      </c>
      <c r="E83" s="10"/>
    </row>
    <row r="84" spans="1:5" ht="26.4" outlineLevel="3" x14ac:dyDescent="0.3">
      <c r="A84" s="3" t="s">
        <v>117</v>
      </c>
      <c r="B84" s="4" t="s">
        <v>118</v>
      </c>
      <c r="C84" s="19">
        <f>125000/1000</f>
        <v>125</v>
      </c>
      <c r="D84" s="19">
        <f>125000/1000</f>
        <v>125</v>
      </c>
      <c r="E84" s="10"/>
    </row>
    <row r="85" spans="1:5" outlineLevel="2" x14ac:dyDescent="0.3">
      <c r="A85" s="3" t="s">
        <v>119</v>
      </c>
      <c r="B85" s="4" t="s">
        <v>120</v>
      </c>
      <c r="C85" s="18">
        <f t="shared" ref="C85:D85" si="22">C86+C87</f>
        <v>5240.241</v>
      </c>
      <c r="D85" s="18">
        <f t="shared" si="22"/>
        <v>5240.241</v>
      </c>
    </row>
    <row r="86" spans="1:5" ht="26.4" outlineLevel="3" x14ac:dyDescent="0.3">
      <c r="A86" s="3" t="s">
        <v>121</v>
      </c>
      <c r="B86" s="4" t="s">
        <v>122</v>
      </c>
      <c r="C86" s="19">
        <f>(5236360+3881)/1000</f>
        <v>5240.241</v>
      </c>
      <c r="D86" s="19">
        <f>(5236360+3881)/1000</f>
        <v>5240.241</v>
      </c>
      <c r="E86" s="10"/>
    </row>
    <row r="87" spans="1:5" ht="26.4" hidden="1" outlineLevel="3" x14ac:dyDescent="0.3">
      <c r="A87" s="3" t="s">
        <v>123</v>
      </c>
      <c r="B87" s="4" t="s">
        <v>124</v>
      </c>
      <c r="C87" s="19">
        <v>0</v>
      </c>
      <c r="D87" s="19">
        <v>0</v>
      </c>
    </row>
    <row r="88" spans="1:5" outlineLevel="2" collapsed="1" x14ac:dyDescent="0.3">
      <c r="A88" s="3" t="s">
        <v>125</v>
      </c>
      <c r="B88" s="4" t="s">
        <v>126</v>
      </c>
      <c r="C88" s="18">
        <f t="shared" ref="C88:D88" si="23">C89+C90</f>
        <v>30</v>
      </c>
      <c r="D88" s="18">
        <f t="shared" si="23"/>
        <v>0</v>
      </c>
    </row>
    <row r="89" spans="1:5" ht="26.4" outlineLevel="3" x14ac:dyDescent="0.3">
      <c r="A89" s="3" t="s">
        <v>127</v>
      </c>
      <c r="B89" s="4" t="s">
        <v>128</v>
      </c>
      <c r="C89" s="19">
        <f>15000/1000</f>
        <v>15</v>
      </c>
      <c r="D89" s="19">
        <v>0</v>
      </c>
      <c r="E89" s="10"/>
    </row>
    <row r="90" spans="1:5" outlineLevel="3" x14ac:dyDescent="0.3">
      <c r="A90" s="3" t="s">
        <v>129</v>
      </c>
      <c r="B90" s="4" t="s">
        <v>130</v>
      </c>
      <c r="C90" s="19">
        <f>15000/1000</f>
        <v>15</v>
      </c>
      <c r="D90" s="19">
        <v>0</v>
      </c>
      <c r="E90" s="10"/>
    </row>
    <row r="91" spans="1:5" ht="26.4" x14ac:dyDescent="0.3">
      <c r="A91" s="5" t="s">
        <v>131</v>
      </c>
      <c r="B91" s="6" t="s">
        <v>132</v>
      </c>
      <c r="C91" s="17">
        <f t="shared" ref="C91:D91" si="24">C92+C95</f>
        <v>1467.223</v>
      </c>
      <c r="D91" s="17">
        <f t="shared" si="24"/>
        <v>1000</v>
      </c>
    </row>
    <row r="92" spans="1:5" ht="26.4" outlineLevel="2" x14ac:dyDescent="0.3">
      <c r="A92" s="3" t="s">
        <v>400</v>
      </c>
      <c r="B92" s="4" t="s">
        <v>133</v>
      </c>
      <c r="C92" s="18">
        <f t="shared" ref="C92:D92" si="25">C93+C94</f>
        <v>1000</v>
      </c>
      <c r="D92" s="18">
        <f t="shared" si="25"/>
        <v>1000</v>
      </c>
    </row>
    <row r="93" spans="1:5" ht="13.8" customHeight="1" outlineLevel="3" x14ac:dyDescent="0.3">
      <c r="A93" s="3" t="s">
        <v>134</v>
      </c>
      <c r="B93" s="4" t="s">
        <v>135</v>
      </c>
      <c r="C93" s="19">
        <f>1000000/1000</f>
        <v>1000</v>
      </c>
      <c r="D93" s="19">
        <f>1000000/1000</f>
        <v>1000</v>
      </c>
    </row>
    <row r="94" spans="1:5" ht="0.6" hidden="1" customHeight="1" outlineLevel="3" x14ac:dyDescent="0.3">
      <c r="A94" s="3" t="s">
        <v>136</v>
      </c>
      <c r="B94" s="4" t="s">
        <v>137</v>
      </c>
      <c r="C94" s="19">
        <v>0</v>
      </c>
      <c r="D94" s="19">
        <v>0</v>
      </c>
    </row>
    <row r="95" spans="1:5" ht="26.4" outlineLevel="2" collapsed="1" x14ac:dyDescent="0.3">
      <c r="A95" s="3" t="s">
        <v>401</v>
      </c>
      <c r="B95" s="4" t="s">
        <v>138</v>
      </c>
      <c r="C95" s="18">
        <f t="shared" ref="C95:D95" si="26">C96+C97+C98+C99+C100+C101</f>
        <v>467.22300000000001</v>
      </c>
      <c r="D95" s="18">
        <f t="shared" si="26"/>
        <v>0</v>
      </c>
    </row>
    <row r="96" spans="1:5" ht="39.6" hidden="1" outlineLevel="3" x14ac:dyDescent="0.3">
      <c r="A96" s="3" t="s">
        <v>139</v>
      </c>
      <c r="B96" s="4" t="s">
        <v>140</v>
      </c>
      <c r="C96" s="19">
        <v>0</v>
      </c>
      <c r="D96" s="19">
        <v>0</v>
      </c>
    </row>
    <row r="97" spans="1:5" ht="39.6" hidden="1" outlineLevel="3" x14ac:dyDescent="0.3">
      <c r="A97" s="3" t="s">
        <v>141</v>
      </c>
      <c r="B97" s="4" t="s">
        <v>142</v>
      </c>
      <c r="C97" s="19">
        <v>0</v>
      </c>
      <c r="D97" s="19">
        <v>0</v>
      </c>
    </row>
    <row r="98" spans="1:5" ht="26.4" hidden="1" outlineLevel="3" x14ac:dyDescent="0.3">
      <c r="A98" s="3" t="s">
        <v>364</v>
      </c>
      <c r="B98" s="4" t="s">
        <v>363</v>
      </c>
      <c r="C98" s="19">
        <v>0</v>
      </c>
      <c r="D98" s="19">
        <v>0</v>
      </c>
      <c r="E98" s="10"/>
    </row>
    <row r="99" spans="1:5" ht="39" customHeight="1" outlineLevel="3" x14ac:dyDescent="0.3">
      <c r="A99" s="3" t="s">
        <v>143</v>
      </c>
      <c r="B99" s="4" t="s">
        <v>144</v>
      </c>
      <c r="C99" s="19">
        <f>467223/1000</f>
        <v>467.22300000000001</v>
      </c>
      <c r="D99" s="19">
        <f>0</f>
        <v>0</v>
      </c>
      <c r="E99" s="9"/>
    </row>
    <row r="100" spans="1:5" ht="0.6" hidden="1" customHeight="1" outlineLevel="3" x14ac:dyDescent="0.3">
      <c r="A100" s="3" t="s">
        <v>366</v>
      </c>
      <c r="B100" s="4" t="s">
        <v>367</v>
      </c>
      <c r="C100" s="19">
        <v>0</v>
      </c>
      <c r="D100" s="19">
        <v>0</v>
      </c>
      <c r="E100" s="9"/>
    </row>
    <row r="101" spans="1:5" ht="41.4" hidden="1" customHeight="1" outlineLevel="3" x14ac:dyDescent="0.3">
      <c r="A101" s="3" t="s">
        <v>368</v>
      </c>
      <c r="B101" s="4" t="s">
        <v>369</v>
      </c>
      <c r="C101" s="19">
        <v>0</v>
      </c>
      <c r="D101" s="19">
        <v>0</v>
      </c>
      <c r="E101" s="9"/>
    </row>
    <row r="102" spans="1:5" ht="39.6" collapsed="1" x14ac:dyDescent="0.3">
      <c r="A102" s="5" t="s">
        <v>145</v>
      </c>
      <c r="B102" s="6" t="s">
        <v>146</v>
      </c>
      <c r="C102" s="17">
        <f t="shared" ref="C102:D102" si="27">C103</f>
        <v>1124.1500000000001</v>
      </c>
      <c r="D102" s="17">
        <f t="shared" si="27"/>
        <v>1124.1500000000001</v>
      </c>
    </row>
    <row r="103" spans="1:5" ht="26.4" outlineLevel="2" x14ac:dyDescent="0.3">
      <c r="A103" s="3" t="s">
        <v>402</v>
      </c>
      <c r="B103" s="4" t="s">
        <v>147</v>
      </c>
      <c r="C103" s="18">
        <f t="shared" ref="C103:D103" si="28">C104</f>
        <v>1124.1500000000001</v>
      </c>
      <c r="D103" s="18">
        <f t="shared" si="28"/>
        <v>1124.1500000000001</v>
      </c>
    </row>
    <row r="104" spans="1:5" ht="42" customHeight="1" outlineLevel="3" x14ac:dyDescent="0.3">
      <c r="A104" s="3" t="s">
        <v>148</v>
      </c>
      <c r="B104" s="4" t="s">
        <v>149</v>
      </c>
      <c r="C104" s="19">
        <f>1124150/1000</f>
        <v>1124.1500000000001</v>
      </c>
      <c r="D104" s="19">
        <f>1124150/1000</f>
        <v>1124.1500000000001</v>
      </c>
      <c r="E104" s="10"/>
    </row>
    <row r="105" spans="1:5" ht="28.2" customHeight="1" x14ac:dyDescent="0.3">
      <c r="A105" s="5" t="s">
        <v>150</v>
      </c>
      <c r="B105" s="6" t="s">
        <v>151</v>
      </c>
      <c r="C105" s="17">
        <f t="shared" ref="C105:D105" si="29">C106</f>
        <v>760</v>
      </c>
      <c r="D105" s="17">
        <f t="shared" si="29"/>
        <v>760</v>
      </c>
    </row>
    <row r="106" spans="1:5" ht="26.4" outlineLevel="2" x14ac:dyDescent="0.3">
      <c r="A106" s="3" t="s">
        <v>403</v>
      </c>
      <c r="B106" s="4" t="s">
        <v>152</v>
      </c>
      <c r="C106" s="18">
        <f t="shared" ref="C106:D106" si="30">C107</f>
        <v>760</v>
      </c>
      <c r="D106" s="18">
        <f t="shared" si="30"/>
        <v>760</v>
      </c>
    </row>
    <row r="107" spans="1:5" ht="52.8" outlineLevel="3" x14ac:dyDescent="0.3">
      <c r="A107" s="3" t="s">
        <v>153</v>
      </c>
      <c r="B107" s="4" t="s">
        <v>154</v>
      </c>
      <c r="C107" s="19">
        <f>760000/1000</f>
        <v>760</v>
      </c>
      <c r="D107" s="19">
        <f>760000/1000</f>
        <v>760</v>
      </c>
    </row>
    <row r="108" spans="1:5" ht="26.4" x14ac:dyDescent="0.3">
      <c r="A108" s="5" t="s">
        <v>155</v>
      </c>
      <c r="B108" s="6" t="s">
        <v>156</v>
      </c>
      <c r="C108" s="17">
        <f t="shared" ref="C108:D108" si="31">C109</f>
        <v>50</v>
      </c>
      <c r="D108" s="17">
        <f t="shared" si="31"/>
        <v>50</v>
      </c>
    </row>
    <row r="109" spans="1:5" ht="26.4" outlineLevel="2" x14ac:dyDescent="0.3">
      <c r="A109" s="3" t="s">
        <v>404</v>
      </c>
      <c r="B109" s="4" t="s">
        <v>157</v>
      </c>
      <c r="C109" s="18">
        <f t="shared" ref="C109:D109" si="32">C110</f>
        <v>50</v>
      </c>
      <c r="D109" s="18">
        <f t="shared" si="32"/>
        <v>50</v>
      </c>
    </row>
    <row r="110" spans="1:5" outlineLevel="3" x14ac:dyDescent="0.3">
      <c r="A110" s="3" t="s">
        <v>158</v>
      </c>
      <c r="B110" s="4" t="s">
        <v>159</v>
      </c>
      <c r="C110" s="19">
        <f>50000/1000</f>
        <v>50</v>
      </c>
      <c r="D110" s="19">
        <f>50000/1000</f>
        <v>50</v>
      </c>
    </row>
    <row r="111" spans="1:5" ht="41.4" customHeight="1" outlineLevel="3" x14ac:dyDescent="0.3">
      <c r="A111" s="5" t="s">
        <v>349</v>
      </c>
      <c r="B111" s="6">
        <v>900000000</v>
      </c>
      <c r="C111" s="21">
        <f t="shared" ref="C111:D111" si="33">C112+C115</f>
        <v>502</v>
      </c>
      <c r="D111" s="21">
        <f t="shared" si="33"/>
        <v>352</v>
      </c>
    </row>
    <row r="112" spans="1:5" ht="25.8" customHeight="1" outlineLevel="3" x14ac:dyDescent="0.3">
      <c r="A112" s="16" t="s">
        <v>405</v>
      </c>
      <c r="B112" s="4" t="s">
        <v>348</v>
      </c>
      <c r="C112" s="22">
        <f t="shared" ref="C112:D112" si="34">C113+C114</f>
        <v>252</v>
      </c>
      <c r="D112" s="22">
        <f t="shared" si="34"/>
        <v>102</v>
      </c>
    </row>
    <row r="113" spans="1:4" ht="41.4" customHeight="1" outlineLevel="3" x14ac:dyDescent="0.3">
      <c r="A113" s="3" t="s">
        <v>351</v>
      </c>
      <c r="B113" s="4" t="s">
        <v>350</v>
      </c>
      <c r="C113" s="19">
        <f>20000/1000</f>
        <v>20</v>
      </c>
      <c r="D113" s="19">
        <f>20000/1000</f>
        <v>20</v>
      </c>
    </row>
    <row r="114" spans="1:4" ht="26.4" outlineLevel="3" x14ac:dyDescent="0.3">
      <c r="A114" s="3" t="s">
        <v>352</v>
      </c>
      <c r="B114" s="4" t="s">
        <v>353</v>
      </c>
      <c r="C114" s="19">
        <f>232000/1000</f>
        <v>232</v>
      </c>
      <c r="D114" s="19">
        <f>82000/1000</f>
        <v>82</v>
      </c>
    </row>
    <row r="115" spans="1:4" outlineLevel="3" x14ac:dyDescent="0.3">
      <c r="A115" s="3" t="s">
        <v>406</v>
      </c>
      <c r="B115" s="4" t="s">
        <v>354</v>
      </c>
      <c r="C115" s="22">
        <f t="shared" ref="C115:D115" si="35">C116</f>
        <v>250</v>
      </c>
      <c r="D115" s="22">
        <f t="shared" si="35"/>
        <v>250</v>
      </c>
    </row>
    <row r="116" spans="1:4" ht="26.4" outlineLevel="3" x14ac:dyDescent="0.3">
      <c r="A116" s="3" t="s">
        <v>356</v>
      </c>
      <c r="B116" s="4" t="s">
        <v>355</v>
      </c>
      <c r="C116" s="19">
        <f>250000/1000</f>
        <v>250</v>
      </c>
      <c r="D116" s="19">
        <f>250000/1000</f>
        <v>250</v>
      </c>
    </row>
    <row r="117" spans="1:4" ht="28.8" customHeight="1" x14ac:dyDescent="0.3">
      <c r="A117" s="5" t="s">
        <v>358</v>
      </c>
      <c r="B117" s="6" t="s">
        <v>160</v>
      </c>
      <c r="C117" s="17">
        <f t="shared" ref="C117:D117" si="36">C118</f>
        <v>2054</v>
      </c>
      <c r="D117" s="17">
        <f t="shared" si="36"/>
        <v>2054</v>
      </c>
    </row>
    <row r="118" spans="1:4" outlineLevel="2" x14ac:dyDescent="0.3">
      <c r="A118" s="3" t="s">
        <v>407</v>
      </c>
      <c r="B118" s="4" t="s">
        <v>161</v>
      </c>
      <c r="C118" s="18">
        <f t="shared" ref="C118:D118" si="37">C119+C120+C121</f>
        <v>2054</v>
      </c>
      <c r="D118" s="18">
        <f t="shared" si="37"/>
        <v>2054</v>
      </c>
    </row>
    <row r="119" spans="1:4" outlineLevel="3" x14ac:dyDescent="0.3">
      <c r="A119" s="3" t="s">
        <v>162</v>
      </c>
      <c r="B119" s="4" t="s">
        <v>163</v>
      </c>
      <c r="C119" s="19">
        <f>54000/1000</f>
        <v>54</v>
      </c>
      <c r="D119" s="19">
        <f>54000/1000</f>
        <v>54</v>
      </c>
    </row>
    <row r="120" spans="1:4" ht="26.4" outlineLevel="3" x14ac:dyDescent="0.3">
      <c r="A120" s="3" t="s">
        <v>164</v>
      </c>
      <c r="B120" s="4" t="s">
        <v>165</v>
      </c>
      <c r="C120" s="19">
        <f>1000000/1000</f>
        <v>1000</v>
      </c>
      <c r="D120" s="19">
        <f>1000000/1000</f>
        <v>1000</v>
      </c>
    </row>
    <row r="121" spans="1:4" outlineLevel="3" x14ac:dyDescent="0.3">
      <c r="A121" s="3" t="s">
        <v>166</v>
      </c>
      <c r="B121" s="4" t="s">
        <v>167</v>
      </c>
      <c r="C121" s="19">
        <f>1000000/1000</f>
        <v>1000</v>
      </c>
      <c r="D121" s="19">
        <f>1000000/1000</f>
        <v>1000</v>
      </c>
    </row>
    <row r="122" spans="1:4" ht="26.4" x14ac:dyDescent="0.3">
      <c r="A122" s="5" t="s">
        <v>168</v>
      </c>
      <c r="B122" s="6" t="s">
        <v>169</v>
      </c>
      <c r="C122" s="17">
        <f t="shared" ref="C122:D122" si="38">C123+C130+C135</f>
        <v>20829.43808</v>
      </c>
      <c r="D122" s="17">
        <f t="shared" si="38"/>
        <v>20324.38708</v>
      </c>
    </row>
    <row r="123" spans="1:4" ht="28.2" customHeight="1" outlineLevel="1" x14ac:dyDescent="0.3">
      <c r="A123" s="3" t="s">
        <v>381</v>
      </c>
      <c r="B123" s="4" t="s">
        <v>170</v>
      </c>
      <c r="C123" s="18">
        <f t="shared" ref="C123:D123" si="39">C124</f>
        <v>16126.050999999999</v>
      </c>
      <c r="D123" s="18">
        <f t="shared" si="39"/>
        <v>15621</v>
      </c>
    </row>
    <row r="124" spans="1:4" ht="39.6" outlineLevel="2" x14ac:dyDescent="0.3">
      <c r="A124" s="3" t="s">
        <v>408</v>
      </c>
      <c r="B124" s="4" t="s">
        <v>171</v>
      </c>
      <c r="C124" s="18">
        <f t="shared" ref="C124:D124" si="40">C125+C126+C128+C127+C129</f>
        <v>16126.050999999999</v>
      </c>
      <c r="D124" s="18">
        <f t="shared" si="40"/>
        <v>15621</v>
      </c>
    </row>
    <row r="125" spans="1:4" ht="26.4" outlineLevel="3" x14ac:dyDescent="0.3">
      <c r="A125" s="3" t="s">
        <v>172</v>
      </c>
      <c r="B125" s="4" t="s">
        <v>173</v>
      </c>
      <c r="C125" s="19">
        <f>11621000/1000</f>
        <v>11621</v>
      </c>
      <c r="D125" s="19">
        <f>11621000/1000</f>
        <v>11621</v>
      </c>
    </row>
    <row r="126" spans="1:4" ht="16.2" customHeight="1" outlineLevel="3" x14ac:dyDescent="0.3">
      <c r="A126" s="3" t="s">
        <v>174</v>
      </c>
      <c r="B126" s="4" t="s">
        <v>175</v>
      </c>
      <c r="C126" s="19">
        <f>4000000/1000</f>
        <v>4000</v>
      </c>
      <c r="D126" s="19">
        <f>4000000/1000</f>
        <v>4000</v>
      </c>
    </row>
    <row r="127" spans="1:4" ht="53.4" hidden="1" customHeight="1" outlineLevel="3" x14ac:dyDescent="0.3">
      <c r="A127" s="3" t="s">
        <v>360</v>
      </c>
      <c r="B127" s="4" t="s">
        <v>361</v>
      </c>
      <c r="C127" s="19">
        <v>0</v>
      </c>
      <c r="D127" s="19">
        <v>0</v>
      </c>
    </row>
    <row r="128" spans="1:4" ht="39.6" hidden="1" outlineLevel="3" x14ac:dyDescent="0.3">
      <c r="A128" s="3" t="s">
        <v>176</v>
      </c>
      <c r="B128" s="4" t="s">
        <v>177</v>
      </c>
      <c r="C128" s="19">
        <v>0</v>
      </c>
      <c r="D128" s="19">
        <v>0</v>
      </c>
    </row>
    <row r="129" spans="1:5" ht="39.6" customHeight="1" outlineLevel="3" x14ac:dyDescent="0.3">
      <c r="A129" s="3" t="s">
        <v>178</v>
      </c>
      <c r="B129" s="4" t="s">
        <v>179</v>
      </c>
      <c r="C129" s="19">
        <f>505051/1000</f>
        <v>505.05099999999999</v>
      </c>
      <c r="D129" s="19">
        <v>0</v>
      </c>
    </row>
    <row r="130" spans="1:5" outlineLevel="1" x14ac:dyDescent="0.3">
      <c r="A130" s="3" t="s">
        <v>382</v>
      </c>
      <c r="B130" s="4" t="s">
        <v>180</v>
      </c>
      <c r="C130" s="18">
        <f t="shared" ref="C130:D130" si="41">C131</f>
        <v>3203.38708</v>
      </c>
      <c r="D130" s="18">
        <f t="shared" si="41"/>
        <v>3203.38708</v>
      </c>
    </row>
    <row r="131" spans="1:5" ht="28.8" customHeight="1" outlineLevel="2" x14ac:dyDescent="0.3">
      <c r="A131" s="3" t="s">
        <v>409</v>
      </c>
      <c r="B131" s="4" t="s">
        <v>181</v>
      </c>
      <c r="C131" s="18">
        <f t="shared" ref="C131:D131" si="42">C132+C133+C134</f>
        <v>3203.38708</v>
      </c>
      <c r="D131" s="18">
        <f t="shared" si="42"/>
        <v>3203.38708</v>
      </c>
    </row>
    <row r="132" spans="1:5" ht="26.4" hidden="1" outlineLevel="3" x14ac:dyDescent="0.3">
      <c r="A132" s="3" t="s">
        <v>182</v>
      </c>
      <c r="B132" s="4" t="s">
        <v>183</v>
      </c>
      <c r="C132" s="19">
        <v>0</v>
      </c>
      <c r="D132" s="19">
        <v>0</v>
      </c>
    </row>
    <row r="133" spans="1:5" ht="39.6" outlineLevel="3" x14ac:dyDescent="0.3">
      <c r="A133" s="3" t="s">
        <v>184</v>
      </c>
      <c r="B133" s="4" t="s">
        <v>185</v>
      </c>
      <c r="C133" s="19">
        <f>3200000/1000</f>
        <v>3200</v>
      </c>
      <c r="D133" s="19">
        <f>3200000/1000</f>
        <v>3200</v>
      </c>
    </row>
    <row r="134" spans="1:5" ht="52.8" outlineLevel="3" x14ac:dyDescent="0.3">
      <c r="A134" s="3" t="s">
        <v>186</v>
      </c>
      <c r="B134" s="4" t="s">
        <v>187</v>
      </c>
      <c r="C134" s="19">
        <f>3387.08/1000</f>
        <v>3.3870800000000001</v>
      </c>
      <c r="D134" s="19">
        <f>3387.08/1000</f>
        <v>3.3870800000000001</v>
      </c>
    </row>
    <row r="135" spans="1:5" ht="26.4" outlineLevel="1" x14ac:dyDescent="0.3">
      <c r="A135" s="3" t="s">
        <v>383</v>
      </c>
      <c r="B135" s="4" t="s">
        <v>188</v>
      </c>
      <c r="C135" s="18">
        <f t="shared" ref="C135:D136" si="43">C136</f>
        <v>1500</v>
      </c>
      <c r="D135" s="18">
        <f t="shared" si="43"/>
        <v>1500</v>
      </c>
    </row>
    <row r="136" spans="1:5" outlineLevel="2" x14ac:dyDescent="0.3">
      <c r="A136" s="3" t="s">
        <v>410</v>
      </c>
      <c r="B136" s="4" t="s">
        <v>189</v>
      </c>
      <c r="C136" s="18">
        <f t="shared" si="43"/>
        <v>1500</v>
      </c>
      <c r="D136" s="18">
        <f t="shared" si="43"/>
        <v>1500</v>
      </c>
    </row>
    <row r="137" spans="1:5" outlineLevel="3" x14ac:dyDescent="0.3">
      <c r="A137" s="3" t="s">
        <v>190</v>
      </c>
      <c r="B137" s="4" t="s">
        <v>191</v>
      </c>
      <c r="C137" s="19">
        <f>1500000/1000</f>
        <v>1500</v>
      </c>
      <c r="D137" s="19">
        <f>1500000/1000</f>
        <v>1500</v>
      </c>
    </row>
    <row r="138" spans="1:5" ht="26.4" x14ac:dyDescent="0.3">
      <c r="A138" s="5" t="s">
        <v>192</v>
      </c>
      <c r="B138" s="6" t="s">
        <v>193</v>
      </c>
      <c r="C138" s="17">
        <f t="shared" ref="C138:D138" si="44">C139+C143+C148+C152</f>
        <v>2754.768</v>
      </c>
      <c r="D138" s="17">
        <f t="shared" si="44"/>
        <v>2226</v>
      </c>
    </row>
    <row r="139" spans="1:5" outlineLevel="1" x14ac:dyDescent="0.3">
      <c r="A139" s="3" t="s">
        <v>384</v>
      </c>
      <c r="B139" s="4" t="s">
        <v>194</v>
      </c>
      <c r="C139" s="18">
        <f t="shared" ref="C139:D139" si="45">C140</f>
        <v>502.51299999999998</v>
      </c>
      <c r="D139" s="18">
        <f t="shared" si="45"/>
        <v>0</v>
      </c>
    </row>
    <row r="140" spans="1:5" ht="27" customHeight="1" outlineLevel="2" x14ac:dyDescent="0.3">
      <c r="A140" s="3" t="s">
        <v>411</v>
      </c>
      <c r="B140" s="4" t="s">
        <v>195</v>
      </c>
      <c r="C140" s="18">
        <f t="shared" ref="C140:D140" si="46">C141+C142</f>
        <v>502.51299999999998</v>
      </c>
      <c r="D140" s="18">
        <f t="shared" si="46"/>
        <v>0</v>
      </c>
    </row>
    <row r="141" spans="1:5" ht="26.4" hidden="1" outlineLevel="3" x14ac:dyDescent="0.3">
      <c r="A141" s="3" t="s">
        <v>196</v>
      </c>
      <c r="B141" s="4" t="s">
        <v>197</v>
      </c>
      <c r="C141" s="19">
        <v>0</v>
      </c>
      <c r="D141" s="19">
        <v>0</v>
      </c>
    </row>
    <row r="142" spans="1:5" ht="28.8" customHeight="1" outlineLevel="3" x14ac:dyDescent="0.3">
      <c r="A142" s="3" t="s">
        <v>198</v>
      </c>
      <c r="B142" s="4" t="s">
        <v>199</v>
      </c>
      <c r="C142" s="19">
        <f>502513/1000</f>
        <v>502.51299999999998</v>
      </c>
      <c r="D142" s="19">
        <v>0</v>
      </c>
      <c r="E142" s="9"/>
    </row>
    <row r="143" spans="1:5" ht="26.4" outlineLevel="1" x14ac:dyDescent="0.3">
      <c r="A143" s="3" t="s">
        <v>385</v>
      </c>
      <c r="B143" s="4" t="s">
        <v>200</v>
      </c>
      <c r="C143" s="18">
        <f t="shared" ref="C143:D143" si="47">C144+C146</f>
        <v>2226</v>
      </c>
      <c r="D143" s="18">
        <f t="shared" si="47"/>
        <v>2226</v>
      </c>
    </row>
    <row r="144" spans="1:5" ht="30.6" customHeight="1" outlineLevel="2" x14ac:dyDescent="0.3">
      <c r="A144" s="3" t="s">
        <v>412</v>
      </c>
      <c r="B144" s="4" t="s">
        <v>201</v>
      </c>
      <c r="C144" s="18">
        <f t="shared" ref="C144:D144" si="48">C145</f>
        <v>2000</v>
      </c>
      <c r="D144" s="18">
        <f t="shared" si="48"/>
        <v>2000</v>
      </c>
    </row>
    <row r="145" spans="1:5" outlineLevel="3" x14ac:dyDescent="0.3">
      <c r="A145" s="3" t="s">
        <v>202</v>
      </c>
      <c r="B145" s="4" t="s">
        <v>203</v>
      </c>
      <c r="C145" s="19">
        <f>2000000/1000</f>
        <v>2000</v>
      </c>
      <c r="D145" s="19">
        <f>2000000/1000</f>
        <v>2000</v>
      </c>
    </row>
    <row r="146" spans="1:5" ht="26.4" outlineLevel="2" x14ac:dyDescent="0.3">
      <c r="A146" s="3" t="s">
        <v>413</v>
      </c>
      <c r="B146" s="4" t="s">
        <v>204</v>
      </c>
      <c r="C146" s="18">
        <f t="shared" ref="C146:D146" si="49">C147</f>
        <v>226</v>
      </c>
      <c r="D146" s="18">
        <f t="shared" si="49"/>
        <v>226</v>
      </c>
    </row>
    <row r="147" spans="1:5" outlineLevel="3" x14ac:dyDescent="0.3">
      <c r="A147" s="3" t="s">
        <v>205</v>
      </c>
      <c r="B147" s="4" t="s">
        <v>206</v>
      </c>
      <c r="C147" s="19">
        <f>226000/1000</f>
        <v>226</v>
      </c>
      <c r="D147" s="19">
        <f>226000/1000</f>
        <v>226</v>
      </c>
    </row>
    <row r="148" spans="1:5" outlineLevel="1" x14ac:dyDescent="0.3">
      <c r="A148" s="3" t="s">
        <v>386</v>
      </c>
      <c r="B148" s="4" t="s">
        <v>207</v>
      </c>
      <c r="C148" s="18">
        <f t="shared" ref="C148:D148" si="50">C149</f>
        <v>26.254999999999999</v>
      </c>
      <c r="D148" s="18">
        <f t="shared" si="50"/>
        <v>0</v>
      </c>
    </row>
    <row r="149" spans="1:5" outlineLevel="2" x14ac:dyDescent="0.3">
      <c r="A149" s="3" t="s">
        <v>414</v>
      </c>
      <c r="B149" s="4" t="s">
        <v>208</v>
      </c>
      <c r="C149" s="18">
        <f t="shared" ref="C149:D149" si="51">C150+C151</f>
        <v>26.254999999999999</v>
      </c>
      <c r="D149" s="18">
        <f t="shared" si="51"/>
        <v>0</v>
      </c>
    </row>
    <row r="150" spans="1:5" ht="26.4" hidden="1" outlineLevel="3" x14ac:dyDescent="0.3">
      <c r="A150" s="3" t="s">
        <v>209</v>
      </c>
      <c r="B150" s="4" t="s">
        <v>210</v>
      </c>
      <c r="C150" s="19">
        <v>0</v>
      </c>
      <c r="D150" s="19">
        <v>0</v>
      </c>
    </row>
    <row r="151" spans="1:5" ht="27" customHeight="1" outlineLevel="3" x14ac:dyDescent="0.3">
      <c r="A151" s="3" t="s">
        <v>211</v>
      </c>
      <c r="B151" s="4" t="s">
        <v>212</v>
      </c>
      <c r="C151" s="19">
        <f>26255/1000</f>
        <v>26.254999999999999</v>
      </c>
      <c r="D151" s="19">
        <v>0</v>
      </c>
    </row>
    <row r="152" spans="1:5" ht="0.6" hidden="1" customHeight="1" outlineLevel="1" x14ac:dyDescent="0.3">
      <c r="A152" s="3" t="s">
        <v>213</v>
      </c>
      <c r="B152" s="4" t="s">
        <v>214</v>
      </c>
      <c r="C152" s="18">
        <f t="shared" ref="C152:D153" si="52">C153</f>
        <v>0</v>
      </c>
      <c r="D152" s="18">
        <f t="shared" si="52"/>
        <v>0</v>
      </c>
    </row>
    <row r="153" spans="1:5" ht="26.4" hidden="1" outlineLevel="2" x14ac:dyDescent="0.3">
      <c r="A153" s="3" t="s">
        <v>215</v>
      </c>
      <c r="B153" s="4" t="s">
        <v>216</v>
      </c>
      <c r="C153" s="18">
        <f t="shared" si="52"/>
        <v>0</v>
      </c>
      <c r="D153" s="18">
        <f t="shared" si="52"/>
        <v>0</v>
      </c>
    </row>
    <row r="154" spans="1:5" ht="26.4" hidden="1" outlineLevel="3" x14ac:dyDescent="0.3">
      <c r="A154" s="3" t="s">
        <v>217</v>
      </c>
      <c r="B154" s="4" t="s">
        <v>218</v>
      </c>
      <c r="C154" s="19">
        <v>0</v>
      </c>
      <c r="D154" s="19">
        <v>0</v>
      </c>
    </row>
    <row r="155" spans="1:5" ht="39.6" collapsed="1" x14ac:dyDescent="0.3">
      <c r="A155" s="5" t="s">
        <v>359</v>
      </c>
      <c r="B155" s="6" t="s">
        <v>219</v>
      </c>
      <c r="C155" s="17">
        <f t="shared" ref="C155:D155" si="53">C156+C158</f>
        <v>42897.82</v>
      </c>
      <c r="D155" s="17">
        <f t="shared" si="53"/>
        <v>42762.52</v>
      </c>
    </row>
    <row r="156" spans="1:5" ht="26.4" outlineLevel="2" x14ac:dyDescent="0.3">
      <c r="A156" s="3" t="s">
        <v>415</v>
      </c>
      <c r="B156" s="4" t="s">
        <v>220</v>
      </c>
      <c r="C156" s="18">
        <f t="shared" ref="C156:D156" si="54">C157</f>
        <v>12010.49</v>
      </c>
      <c r="D156" s="18">
        <f t="shared" si="54"/>
        <v>12010.49</v>
      </c>
    </row>
    <row r="157" spans="1:5" ht="28.8" customHeight="1" outlineLevel="3" x14ac:dyDescent="0.3">
      <c r="A157" s="3" t="s">
        <v>64</v>
      </c>
      <c r="B157" s="4" t="s">
        <v>221</v>
      </c>
      <c r="C157" s="19">
        <f>12010490/1000</f>
        <v>12010.49</v>
      </c>
      <c r="D157" s="19">
        <f>12010490/1000</f>
        <v>12010.49</v>
      </c>
      <c r="E157" s="9"/>
    </row>
    <row r="158" spans="1:5" ht="26.4" outlineLevel="2" x14ac:dyDescent="0.3">
      <c r="A158" s="3" t="s">
        <v>416</v>
      </c>
      <c r="B158" s="4" t="s">
        <v>222</v>
      </c>
      <c r="C158" s="18">
        <f t="shared" ref="C158:D158" si="55">C159+C160</f>
        <v>30887.329999999998</v>
      </c>
      <c r="D158" s="18">
        <f t="shared" si="55"/>
        <v>30752.03</v>
      </c>
    </row>
    <row r="159" spans="1:5" ht="26.4" outlineLevel="3" x14ac:dyDescent="0.3">
      <c r="A159" s="3" t="s">
        <v>223</v>
      </c>
      <c r="B159" s="4" t="s">
        <v>224</v>
      </c>
      <c r="C159" s="19">
        <f>7135300/1000</f>
        <v>7135.3</v>
      </c>
      <c r="D159" s="19">
        <f>7000000/1000</f>
        <v>7000</v>
      </c>
    </row>
    <row r="160" spans="1:5" ht="39.6" outlineLevel="3" x14ac:dyDescent="0.3">
      <c r="A160" s="3" t="s">
        <v>225</v>
      </c>
      <c r="B160" s="4" t="s">
        <v>226</v>
      </c>
      <c r="C160" s="19">
        <f>23752030/1000</f>
        <v>23752.03</v>
      </c>
      <c r="D160" s="19">
        <f>23752030/1000</f>
        <v>23752.03</v>
      </c>
    </row>
    <row r="161" spans="1:5" ht="26.4" x14ac:dyDescent="0.3">
      <c r="A161" s="7" t="s">
        <v>227</v>
      </c>
      <c r="B161" s="8" t="s">
        <v>228</v>
      </c>
      <c r="C161" s="17">
        <f t="shared" ref="C161:D161" si="56">C162</f>
        <v>50</v>
      </c>
      <c r="D161" s="17">
        <f t="shared" si="56"/>
        <v>50</v>
      </c>
    </row>
    <row r="162" spans="1:5" ht="26.4" outlineLevel="2" x14ac:dyDescent="0.3">
      <c r="A162" s="3" t="s">
        <v>417</v>
      </c>
      <c r="B162" s="4" t="s">
        <v>229</v>
      </c>
      <c r="C162" s="18">
        <f t="shared" ref="C162:D162" si="57">C163+C164</f>
        <v>50</v>
      </c>
      <c r="D162" s="18">
        <f t="shared" si="57"/>
        <v>50</v>
      </c>
    </row>
    <row r="163" spans="1:5" ht="39" customHeight="1" outlineLevel="3" x14ac:dyDescent="0.3">
      <c r="A163" s="3" t="s">
        <v>230</v>
      </c>
      <c r="B163" s="4" t="s">
        <v>231</v>
      </c>
      <c r="C163" s="19">
        <f>50000/1000</f>
        <v>50</v>
      </c>
      <c r="D163" s="19">
        <f>50000/1000</f>
        <v>50</v>
      </c>
      <c r="E163" s="10"/>
    </row>
    <row r="164" spans="1:5" ht="0.6" hidden="1" customHeight="1" outlineLevel="3" x14ac:dyDescent="0.3">
      <c r="A164" s="3" t="s">
        <v>232</v>
      </c>
      <c r="B164" s="4" t="s">
        <v>233</v>
      </c>
      <c r="C164" s="19">
        <v>0</v>
      </c>
      <c r="D164" s="19">
        <v>0</v>
      </c>
    </row>
    <row r="165" spans="1:5" ht="27" customHeight="1" collapsed="1" x14ac:dyDescent="0.3">
      <c r="A165" s="5" t="s">
        <v>234</v>
      </c>
      <c r="B165" s="6" t="s">
        <v>235</v>
      </c>
      <c r="C165" s="17">
        <f t="shared" ref="C165:D165" si="58">C166</f>
        <v>5</v>
      </c>
      <c r="D165" s="17">
        <f t="shared" si="58"/>
        <v>5</v>
      </c>
    </row>
    <row r="166" spans="1:5" ht="26.4" outlineLevel="2" x14ac:dyDescent="0.3">
      <c r="A166" s="3" t="s">
        <v>418</v>
      </c>
      <c r="B166" s="4" t="s">
        <v>236</v>
      </c>
      <c r="C166" s="18">
        <f t="shared" ref="C166:D166" si="59">C167</f>
        <v>5</v>
      </c>
      <c r="D166" s="18">
        <f t="shared" si="59"/>
        <v>5</v>
      </c>
    </row>
    <row r="167" spans="1:5" outlineLevel="3" x14ac:dyDescent="0.3">
      <c r="A167" s="3" t="s">
        <v>237</v>
      </c>
      <c r="B167" s="4" t="s">
        <v>238</v>
      </c>
      <c r="C167" s="19">
        <f>5000/1000</f>
        <v>5</v>
      </c>
      <c r="D167" s="19">
        <f>5000/1000</f>
        <v>5</v>
      </c>
    </row>
    <row r="168" spans="1:5" ht="26.4" x14ac:dyDescent="0.3">
      <c r="A168" s="5" t="s">
        <v>239</v>
      </c>
      <c r="B168" s="6" t="s">
        <v>240</v>
      </c>
      <c r="C168" s="17">
        <f t="shared" ref="C168:D168" si="60">C169</f>
        <v>195.5</v>
      </c>
      <c r="D168" s="17">
        <f t="shared" si="60"/>
        <v>195.5</v>
      </c>
    </row>
    <row r="169" spans="1:5" ht="26.4" outlineLevel="2" x14ac:dyDescent="0.3">
      <c r="A169" s="3" t="s">
        <v>419</v>
      </c>
      <c r="B169" s="4" t="s">
        <v>241</v>
      </c>
      <c r="C169" s="18">
        <f t="shared" ref="C169:D169" si="61">C170</f>
        <v>195.5</v>
      </c>
      <c r="D169" s="18">
        <f t="shared" si="61"/>
        <v>195.5</v>
      </c>
    </row>
    <row r="170" spans="1:5" ht="26.4" outlineLevel="3" x14ac:dyDescent="0.3">
      <c r="A170" s="3" t="s">
        <v>242</v>
      </c>
      <c r="B170" s="4" t="s">
        <v>243</v>
      </c>
      <c r="C170" s="19">
        <f>195500/1000</f>
        <v>195.5</v>
      </c>
      <c r="D170" s="19">
        <f>195500/1000</f>
        <v>195.5</v>
      </c>
      <c r="E170" s="10"/>
    </row>
    <row r="171" spans="1:5" ht="26.4" customHeight="1" x14ac:dyDescent="0.3">
      <c r="A171" s="5" t="s">
        <v>244</v>
      </c>
      <c r="B171" s="6" t="s">
        <v>245</v>
      </c>
      <c r="C171" s="17">
        <f t="shared" ref="C171:D171" si="62">C172</f>
        <v>1200</v>
      </c>
      <c r="D171" s="17">
        <f t="shared" si="62"/>
        <v>1200</v>
      </c>
    </row>
    <row r="172" spans="1:5" ht="26.4" outlineLevel="2" x14ac:dyDescent="0.3">
      <c r="A172" s="3" t="s">
        <v>420</v>
      </c>
      <c r="B172" s="4" t="s">
        <v>246</v>
      </c>
      <c r="C172" s="18">
        <f t="shared" ref="C172:D172" si="63">C173</f>
        <v>1200</v>
      </c>
      <c r="D172" s="18">
        <f t="shared" si="63"/>
        <v>1200</v>
      </c>
    </row>
    <row r="173" spans="1:5" ht="26.4" outlineLevel="3" x14ac:dyDescent="0.3">
      <c r="A173" s="3" t="s">
        <v>247</v>
      </c>
      <c r="B173" s="4" t="s">
        <v>248</v>
      </c>
      <c r="C173" s="19">
        <f>1200000/1000</f>
        <v>1200</v>
      </c>
      <c r="D173" s="19">
        <f>1200000/1000</f>
        <v>1200</v>
      </c>
    </row>
    <row r="174" spans="1:5" ht="28.2" customHeight="1" x14ac:dyDescent="0.3">
      <c r="A174" s="5" t="s">
        <v>249</v>
      </c>
      <c r="B174" s="6" t="s">
        <v>250</v>
      </c>
      <c r="C174" s="17">
        <f t="shared" ref="C174:D174" si="64">C175</f>
        <v>54</v>
      </c>
      <c r="D174" s="17">
        <f t="shared" si="64"/>
        <v>54</v>
      </c>
    </row>
    <row r="175" spans="1:5" ht="26.4" outlineLevel="2" x14ac:dyDescent="0.3">
      <c r="A175" s="3" t="s">
        <v>421</v>
      </c>
      <c r="B175" s="4" t="s">
        <v>251</v>
      </c>
      <c r="C175" s="18">
        <f t="shared" ref="C175:D175" si="65">C176</f>
        <v>54</v>
      </c>
      <c r="D175" s="18">
        <f t="shared" si="65"/>
        <v>54</v>
      </c>
    </row>
    <row r="176" spans="1:5" outlineLevel="3" x14ac:dyDescent="0.3">
      <c r="A176" s="3" t="s">
        <v>252</v>
      </c>
      <c r="B176" s="4" t="s">
        <v>253</v>
      </c>
      <c r="C176" s="19">
        <f>54000/1000</f>
        <v>54</v>
      </c>
      <c r="D176" s="19">
        <f>54000/1000</f>
        <v>54</v>
      </c>
    </row>
    <row r="177" spans="1:5" x14ac:dyDescent="0.3">
      <c r="A177" s="5" t="s">
        <v>254</v>
      </c>
      <c r="B177" s="6" t="s">
        <v>255</v>
      </c>
      <c r="C177" s="17">
        <f t="shared" ref="C177:D178" si="66">C178</f>
        <v>50</v>
      </c>
      <c r="D177" s="17">
        <f t="shared" si="66"/>
        <v>50</v>
      </c>
    </row>
    <row r="178" spans="1:5" outlineLevel="2" x14ac:dyDescent="0.3">
      <c r="A178" s="3" t="s">
        <v>422</v>
      </c>
      <c r="B178" s="4" t="s">
        <v>256</v>
      </c>
      <c r="C178" s="18">
        <f t="shared" si="66"/>
        <v>50</v>
      </c>
      <c r="D178" s="18">
        <f t="shared" si="66"/>
        <v>50</v>
      </c>
    </row>
    <row r="179" spans="1:5" outlineLevel="3" x14ac:dyDescent="0.3">
      <c r="A179" s="3" t="s">
        <v>50</v>
      </c>
      <c r="B179" s="4" t="s">
        <v>257</v>
      </c>
      <c r="C179" s="19">
        <f>50000/1000</f>
        <v>50</v>
      </c>
      <c r="D179" s="19">
        <f>50000/1000</f>
        <v>50</v>
      </c>
    </row>
    <row r="180" spans="1:5" ht="27.6" customHeight="1" x14ac:dyDescent="0.3">
      <c r="A180" s="5" t="s">
        <v>258</v>
      </c>
      <c r="B180" s="6" t="s">
        <v>259</v>
      </c>
      <c r="C180" s="17">
        <f t="shared" ref="C180:D180" si="67">C181</f>
        <v>2944.2235700000001</v>
      </c>
      <c r="D180" s="17">
        <f t="shared" si="67"/>
        <v>2944.2235700000001</v>
      </c>
    </row>
    <row r="181" spans="1:5" ht="30.6" customHeight="1" outlineLevel="2" x14ac:dyDescent="0.3">
      <c r="A181" s="3" t="s">
        <v>423</v>
      </c>
      <c r="B181" s="4" t="s">
        <v>260</v>
      </c>
      <c r="C181" s="18">
        <f t="shared" ref="C181:D181" si="68">C182</f>
        <v>2944.2235700000001</v>
      </c>
      <c r="D181" s="18">
        <f t="shared" si="68"/>
        <v>2944.2235700000001</v>
      </c>
    </row>
    <row r="182" spans="1:5" ht="26.4" outlineLevel="3" x14ac:dyDescent="0.3">
      <c r="A182" s="3" t="s">
        <v>427</v>
      </c>
      <c r="B182" s="4" t="s">
        <v>261</v>
      </c>
      <c r="C182" s="19">
        <f>(1444223.57+1500000)/1000</f>
        <v>2944.2235700000001</v>
      </c>
      <c r="D182" s="19">
        <f>(1444223.57+1500000)/1000</f>
        <v>2944.2235700000001</v>
      </c>
    </row>
    <row r="183" spans="1:5" ht="39" customHeight="1" x14ac:dyDescent="0.3">
      <c r="A183" s="5" t="s">
        <v>262</v>
      </c>
      <c r="B183" s="6" t="s">
        <v>263</v>
      </c>
      <c r="C183" s="17">
        <f t="shared" ref="C183:D183" si="69">C184</f>
        <v>100</v>
      </c>
      <c r="D183" s="17">
        <f t="shared" si="69"/>
        <v>100</v>
      </c>
    </row>
    <row r="184" spans="1:5" ht="41.4" customHeight="1" outlineLevel="2" x14ac:dyDescent="0.3">
      <c r="A184" s="3" t="s">
        <v>424</v>
      </c>
      <c r="B184" s="4" t="s">
        <v>264</v>
      </c>
      <c r="C184" s="18">
        <f t="shared" ref="C184:D184" si="70">C185</f>
        <v>100</v>
      </c>
      <c r="D184" s="18">
        <f t="shared" si="70"/>
        <v>100</v>
      </c>
    </row>
    <row r="185" spans="1:5" ht="26.4" outlineLevel="3" x14ac:dyDescent="0.3">
      <c r="A185" s="3" t="s">
        <v>265</v>
      </c>
      <c r="B185" s="4" t="s">
        <v>266</v>
      </c>
      <c r="C185" s="19">
        <f>100000/1000</f>
        <v>100</v>
      </c>
      <c r="D185" s="19">
        <f>100000/1000</f>
        <v>100</v>
      </c>
      <c r="E185" s="10"/>
    </row>
    <row r="186" spans="1:5" ht="27.6" customHeight="1" x14ac:dyDescent="0.3">
      <c r="A186" s="5" t="s">
        <v>267</v>
      </c>
      <c r="B186" s="6" t="s">
        <v>268</v>
      </c>
      <c r="C186" s="20">
        <f t="shared" ref="C186:D186" si="71">C187</f>
        <v>5</v>
      </c>
      <c r="D186" s="20">
        <f t="shared" si="71"/>
        <v>5</v>
      </c>
    </row>
    <row r="187" spans="1:5" ht="26.4" outlineLevel="2" x14ac:dyDescent="0.3">
      <c r="A187" s="3" t="s">
        <v>425</v>
      </c>
      <c r="B187" s="4" t="s">
        <v>269</v>
      </c>
      <c r="C187" s="19">
        <f t="shared" ref="C187:D187" si="72">C188</f>
        <v>5</v>
      </c>
      <c r="D187" s="19">
        <f t="shared" si="72"/>
        <v>5</v>
      </c>
    </row>
    <row r="188" spans="1:5" outlineLevel="3" x14ac:dyDescent="0.3">
      <c r="A188" s="3" t="s">
        <v>270</v>
      </c>
      <c r="B188" s="4" t="s">
        <v>271</v>
      </c>
      <c r="C188" s="19">
        <f>5000/1000</f>
        <v>5</v>
      </c>
      <c r="D188" s="19">
        <f>5000/1000</f>
        <v>5</v>
      </c>
    </row>
    <row r="189" spans="1:5" ht="39.6" x14ac:dyDescent="0.3">
      <c r="A189" s="5" t="s">
        <v>387</v>
      </c>
      <c r="B189" s="6" t="s">
        <v>272</v>
      </c>
      <c r="C189" s="20">
        <f t="shared" ref="C189:D189" si="73">C190</f>
        <v>5</v>
      </c>
      <c r="D189" s="20">
        <f t="shared" si="73"/>
        <v>5</v>
      </c>
    </row>
    <row r="190" spans="1:5" ht="26.4" outlineLevel="2" x14ac:dyDescent="0.3">
      <c r="A190" s="3" t="s">
        <v>426</v>
      </c>
      <c r="B190" s="4" t="s">
        <v>273</v>
      </c>
      <c r="C190" s="19">
        <f t="shared" ref="C190:D190" si="74">C191</f>
        <v>5</v>
      </c>
      <c r="D190" s="19">
        <f t="shared" si="74"/>
        <v>5</v>
      </c>
    </row>
    <row r="191" spans="1:5" outlineLevel="3" x14ac:dyDescent="0.3">
      <c r="A191" s="3" t="s">
        <v>274</v>
      </c>
      <c r="B191" s="4" t="s">
        <v>275</v>
      </c>
      <c r="C191" s="19">
        <f>5000/1000</f>
        <v>5</v>
      </c>
      <c r="D191" s="19">
        <f>5000/1000</f>
        <v>5</v>
      </c>
    </row>
    <row r="192" spans="1:5" x14ac:dyDescent="0.3">
      <c r="A192" s="5" t="s">
        <v>276</v>
      </c>
      <c r="B192" s="6" t="s">
        <v>277</v>
      </c>
      <c r="C192" s="20">
        <f t="shared" ref="C192:D192" si="75">C193</f>
        <v>151468.54942999998</v>
      </c>
      <c r="D192" s="20">
        <f t="shared" si="75"/>
        <v>150672.18000000002</v>
      </c>
    </row>
    <row r="193" spans="1:5" outlineLevel="2" x14ac:dyDescent="0.3">
      <c r="A193" s="3" t="s">
        <v>278</v>
      </c>
      <c r="B193" s="4" t="s">
        <v>279</v>
      </c>
      <c r="C193" s="19">
        <f t="shared" ref="C193:D193" si="76">C194+C195+C196+C197+C198+C199+C200+C201+C202+C203+C204+C205+C206+C207+C208+C209+C210+C211+C212+C213+C214+C215+C216+C217+C218+C219+C220+C221+C222+C223+C224+C225+C226+C227</f>
        <v>151468.54942999998</v>
      </c>
      <c r="D193" s="19">
        <f t="shared" si="76"/>
        <v>150672.18000000002</v>
      </c>
    </row>
    <row r="194" spans="1:5" outlineLevel="3" x14ac:dyDescent="0.3">
      <c r="A194" s="3" t="s">
        <v>280</v>
      </c>
      <c r="B194" s="4" t="s">
        <v>281</v>
      </c>
      <c r="C194" s="19">
        <f>2393080/1000</f>
        <v>2393.08</v>
      </c>
      <c r="D194" s="19">
        <f>2393080/1000</f>
        <v>2393.08</v>
      </c>
    </row>
    <row r="195" spans="1:5" ht="28.8" customHeight="1" outlineLevel="3" x14ac:dyDescent="0.3">
      <c r="A195" s="3" t="s">
        <v>64</v>
      </c>
      <c r="B195" s="4" t="s">
        <v>282</v>
      </c>
      <c r="C195" s="19">
        <f>53394580/1000</f>
        <v>53394.58</v>
      </c>
      <c r="D195" s="19">
        <f>53394580/1000</f>
        <v>53394.58</v>
      </c>
      <c r="E195" s="9"/>
    </row>
    <row r="196" spans="1:5" outlineLevel="3" x14ac:dyDescent="0.3">
      <c r="A196" s="3" t="s">
        <v>283</v>
      </c>
      <c r="B196" s="4" t="s">
        <v>284</v>
      </c>
      <c r="C196" s="19">
        <f>2133600/1000</f>
        <v>2133.6</v>
      </c>
      <c r="D196" s="19">
        <f>2133600/1000</f>
        <v>2133.6</v>
      </c>
    </row>
    <row r="197" spans="1:5" outlineLevel="3" x14ac:dyDescent="0.3">
      <c r="A197" s="3" t="s">
        <v>285</v>
      </c>
      <c r="B197" s="4" t="s">
        <v>286</v>
      </c>
      <c r="C197" s="19">
        <f>168000/1000</f>
        <v>168</v>
      </c>
      <c r="D197" s="19">
        <f>168000/1000</f>
        <v>168</v>
      </c>
    </row>
    <row r="198" spans="1:5" outlineLevel="3" x14ac:dyDescent="0.3">
      <c r="A198" s="3" t="s">
        <v>287</v>
      </c>
      <c r="B198" s="4" t="s">
        <v>288</v>
      </c>
      <c r="C198" s="19">
        <f>1171800/1000</f>
        <v>1171.8</v>
      </c>
      <c r="D198" s="19">
        <f>1171800/1000</f>
        <v>1171.8</v>
      </c>
    </row>
    <row r="199" spans="1:5" ht="26.4" hidden="1" outlineLevel="3" x14ac:dyDescent="0.3">
      <c r="A199" s="3" t="s">
        <v>289</v>
      </c>
      <c r="B199" s="4" t="s">
        <v>290</v>
      </c>
      <c r="C199" s="19">
        <v>0</v>
      </c>
      <c r="D199" s="19">
        <v>0</v>
      </c>
    </row>
    <row r="200" spans="1:5" outlineLevel="3" x14ac:dyDescent="0.3">
      <c r="A200" s="3" t="s">
        <v>291</v>
      </c>
      <c r="B200" s="4" t="s">
        <v>292</v>
      </c>
      <c r="C200" s="19">
        <f>1600000/1000</f>
        <v>1600</v>
      </c>
      <c r="D200" s="19">
        <f>1600000/1000</f>
        <v>1600</v>
      </c>
    </row>
    <row r="201" spans="1:5" ht="26.4" hidden="1" outlineLevel="3" x14ac:dyDescent="0.3">
      <c r="A201" s="3" t="s">
        <v>293</v>
      </c>
      <c r="B201" s="4" t="s">
        <v>294</v>
      </c>
      <c r="C201" s="19">
        <v>0</v>
      </c>
      <c r="D201" s="19">
        <v>0</v>
      </c>
    </row>
    <row r="202" spans="1:5" ht="26.4" outlineLevel="3" x14ac:dyDescent="0.3">
      <c r="A202" s="3" t="s">
        <v>295</v>
      </c>
      <c r="B202" s="4" t="s">
        <v>296</v>
      </c>
      <c r="C202" s="19">
        <f>1460677/1000</f>
        <v>1460.6769999999999</v>
      </c>
      <c r="D202" s="19">
        <f>1460677/1000</f>
        <v>1460.6769999999999</v>
      </c>
      <c r="E202" s="10"/>
    </row>
    <row r="203" spans="1:5" ht="39.6" outlineLevel="3" x14ac:dyDescent="0.3">
      <c r="A203" s="3" t="s">
        <v>297</v>
      </c>
      <c r="B203" s="4" t="s">
        <v>298</v>
      </c>
      <c r="C203" s="19">
        <f>200000/1000</f>
        <v>200</v>
      </c>
      <c r="D203" s="19">
        <f>200000/1000</f>
        <v>200</v>
      </c>
    </row>
    <row r="204" spans="1:5" outlineLevel="3" x14ac:dyDescent="0.3">
      <c r="A204" s="3" t="s">
        <v>299</v>
      </c>
      <c r="B204" s="4" t="s">
        <v>300</v>
      </c>
      <c r="C204" s="19">
        <f>1250000/1000</f>
        <v>1250</v>
      </c>
      <c r="D204" s="19">
        <f>1250000/1000</f>
        <v>1250</v>
      </c>
      <c r="E204" s="9"/>
    </row>
    <row r="205" spans="1:5" hidden="1" outlineLevel="3" x14ac:dyDescent="0.3">
      <c r="A205" s="3" t="s">
        <v>301</v>
      </c>
      <c r="B205" s="4" t="s">
        <v>302</v>
      </c>
      <c r="C205" s="19">
        <v>0</v>
      </c>
      <c r="D205" s="19">
        <v>0</v>
      </c>
    </row>
    <row r="206" spans="1:5" ht="26.4" outlineLevel="3" x14ac:dyDescent="0.3">
      <c r="A206" s="3" t="s">
        <v>164</v>
      </c>
      <c r="B206" s="4" t="s">
        <v>303</v>
      </c>
      <c r="C206" s="19">
        <f>8000/1000</f>
        <v>8</v>
      </c>
      <c r="D206" s="19">
        <f>8000/1000</f>
        <v>8</v>
      </c>
      <c r="E206" s="9"/>
    </row>
    <row r="207" spans="1:5" ht="26.4" hidden="1" outlineLevel="3" x14ac:dyDescent="0.3">
      <c r="A207" s="3" t="s">
        <v>304</v>
      </c>
      <c r="B207" s="4" t="s">
        <v>305</v>
      </c>
      <c r="C207" s="19">
        <v>0</v>
      </c>
      <c r="D207" s="19">
        <v>0</v>
      </c>
    </row>
    <row r="208" spans="1:5" outlineLevel="3" x14ac:dyDescent="0.3">
      <c r="A208" s="3" t="s">
        <v>306</v>
      </c>
      <c r="B208" s="4" t="s">
        <v>307</v>
      </c>
      <c r="C208" s="19">
        <f>908000/1000</f>
        <v>908</v>
      </c>
      <c r="D208" s="19">
        <f>908000/1000</f>
        <v>908</v>
      </c>
      <c r="E208" s="9"/>
    </row>
    <row r="209" spans="1:5" ht="26.4" outlineLevel="3" x14ac:dyDescent="0.3">
      <c r="A209" s="3" t="s">
        <v>308</v>
      </c>
      <c r="B209" s="4" t="s">
        <v>309</v>
      </c>
      <c r="C209" s="19">
        <f>50000/1000</f>
        <v>50</v>
      </c>
      <c r="D209" s="19">
        <f>50000/1000</f>
        <v>50</v>
      </c>
    </row>
    <row r="210" spans="1:5" ht="26.4" outlineLevel="3" x14ac:dyDescent="0.3">
      <c r="A210" s="3" t="s">
        <v>310</v>
      </c>
      <c r="B210" s="4" t="s">
        <v>311</v>
      </c>
      <c r="C210" s="19">
        <f>20124/1000</f>
        <v>20.123999999999999</v>
      </c>
      <c r="D210" s="19">
        <f>20124/1000</f>
        <v>20.123999999999999</v>
      </c>
    </row>
    <row r="211" spans="1:5" ht="26.4" outlineLevel="3" x14ac:dyDescent="0.3">
      <c r="A211" s="3" t="s">
        <v>312</v>
      </c>
      <c r="B211" s="4" t="s">
        <v>313</v>
      </c>
      <c r="C211" s="19">
        <f>762303.34/1000</f>
        <v>762.30333999999993</v>
      </c>
      <c r="D211" s="19">
        <f>578606.45/1000</f>
        <v>578.60645</v>
      </c>
    </row>
    <row r="212" spans="1:5" hidden="1" outlineLevel="3" x14ac:dyDescent="0.3">
      <c r="A212" s="3" t="s">
        <v>314</v>
      </c>
      <c r="B212" s="4" t="s">
        <v>315</v>
      </c>
      <c r="C212" s="19">
        <v>0</v>
      </c>
      <c r="D212" s="19">
        <v>0</v>
      </c>
    </row>
    <row r="213" spans="1:5" ht="52.8" outlineLevel="3" x14ac:dyDescent="0.3">
      <c r="A213" s="3" t="s">
        <v>316</v>
      </c>
      <c r="B213" s="4" t="s">
        <v>317</v>
      </c>
      <c r="C213" s="19">
        <f>2121474/1000</f>
        <v>2121.4740000000002</v>
      </c>
      <c r="D213" s="19">
        <f>2121474/1000</f>
        <v>2121.4740000000002</v>
      </c>
    </row>
    <row r="214" spans="1:5" ht="28.2" customHeight="1" outlineLevel="3" x14ac:dyDescent="0.3">
      <c r="A214" s="3" t="s">
        <v>6</v>
      </c>
      <c r="B214" s="4" t="s">
        <v>318</v>
      </c>
      <c r="C214" s="19">
        <f>(32901599-10000000)/1000</f>
        <v>22901.598999999998</v>
      </c>
      <c r="D214" s="19">
        <f>(32901599-10000000-2000000)/1000</f>
        <v>20901.598999999998</v>
      </c>
      <c r="E214" s="9"/>
    </row>
    <row r="215" spans="1:5" ht="26.4" outlineLevel="3" x14ac:dyDescent="0.3">
      <c r="A215" s="3" t="s">
        <v>319</v>
      </c>
      <c r="B215" s="4" t="s">
        <v>320</v>
      </c>
      <c r="C215" s="19">
        <f>80000/1000</f>
        <v>80</v>
      </c>
      <c r="D215" s="19">
        <f>80000/1000</f>
        <v>80</v>
      </c>
    </row>
    <row r="216" spans="1:5" outlineLevel="3" x14ac:dyDescent="0.3">
      <c r="A216" s="3" t="s">
        <v>321</v>
      </c>
      <c r="B216" s="4" t="s">
        <v>322</v>
      </c>
      <c r="C216" s="19">
        <f>100000/1000</f>
        <v>100</v>
      </c>
      <c r="D216" s="19">
        <f>100000/1000</f>
        <v>100</v>
      </c>
    </row>
    <row r="217" spans="1:5" outlineLevel="3" x14ac:dyDescent="0.3">
      <c r="A217" s="3" t="s">
        <v>323</v>
      </c>
      <c r="B217" s="4" t="s">
        <v>324</v>
      </c>
      <c r="C217" s="19">
        <f>2797200/1000</f>
        <v>2797.2</v>
      </c>
      <c r="D217" s="19">
        <f>2797200/1000</f>
        <v>2797.2</v>
      </c>
    </row>
    <row r="218" spans="1:5" ht="26.4" outlineLevel="3" x14ac:dyDescent="0.3">
      <c r="A218" s="3" t="s">
        <v>325</v>
      </c>
      <c r="B218" s="4" t="s">
        <v>326</v>
      </c>
      <c r="C218" s="19">
        <f>1319526/1000</f>
        <v>1319.5260000000001</v>
      </c>
      <c r="D218" s="19">
        <f>1369312/1000</f>
        <v>1369.3119999999999</v>
      </c>
    </row>
    <row r="219" spans="1:5" ht="26.4" outlineLevel="3" x14ac:dyDescent="0.3">
      <c r="A219" s="3" t="s">
        <v>327</v>
      </c>
      <c r="B219" s="4" t="s">
        <v>328</v>
      </c>
      <c r="C219" s="19">
        <f>855291/1000</f>
        <v>855.29100000000005</v>
      </c>
      <c r="D219" s="19">
        <f>887446/1000</f>
        <v>887.44600000000003</v>
      </c>
    </row>
    <row r="220" spans="1:5" ht="28.8" customHeight="1" outlineLevel="3" x14ac:dyDescent="0.3">
      <c r="A220" s="3" t="s">
        <v>329</v>
      </c>
      <c r="B220" s="4" t="s">
        <v>330</v>
      </c>
      <c r="C220" s="19">
        <f>469667.49/1000</f>
        <v>469.66748999999999</v>
      </c>
      <c r="D220" s="19">
        <f>469667.49/1000</f>
        <v>469.66748999999999</v>
      </c>
    </row>
    <row r="221" spans="1:5" ht="39.6" outlineLevel="3" x14ac:dyDescent="0.3">
      <c r="A221" s="3" t="s">
        <v>331</v>
      </c>
      <c r="B221" s="4" t="s">
        <v>332</v>
      </c>
      <c r="C221" s="19">
        <f>23218093.65/1000</f>
        <v>23218.093649999999</v>
      </c>
      <c r="D221" s="19">
        <f>23837997.18/1000</f>
        <v>23837.997179999998</v>
      </c>
    </row>
    <row r="222" spans="1:5" ht="26.4" outlineLevel="3" x14ac:dyDescent="0.3">
      <c r="A222" s="3" t="s">
        <v>333</v>
      </c>
      <c r="B222" s="4" t="s">
        <v>334</v>
      </c>
      <c r="C222" s="19">
        <f>861546/1000</f>
        <v>861.54600000000005</v>
      </c>
      <c r="D222" s="19">
        <f>893408/1000</f>
        <v>893.40800000000002</v>
      </c>
    </row>
    <row r="223" spans="1:5" ht="27.6" customHeight="1" outlineLevel="3" x14ac:dyDescent="0.3">
      <c r="A223" s="3" t="s">
        <v>335</v>
      </c>
      <c r="B223" s="4" t="s">
        <v>336</v>
      </c>
      <c r="C223" s="19">
        <f>1867.2/1000</f>
        <v>1.8672</v>
      </c>
      <c r="D223" s="19">
        <f>1941.88/1000</f>
        <v>1.9418800000000001</v>
      </c>
    </row>
    <row r="224" spans="1:5" ht="26.4" outlineLevel="3" x14ac:dyDescent="0.3">
      <c r="A224" s="3" t="s">
        <v>337</v>
      </c>
      <c r="B224" s="4" t="s">
        <v>338</v>
      </c>
      <c r="C224" s="19">
        <f>3032885/1000</f>
        <v>3032.8850000000002</v>
      </c>
      <c r="D224" s="19">
        <f>3144745/1000</f>
        <v>3144.7449999999999</v>
      </c>
    </row>
    <row r="225" spans="1:8" ht="39.6" outlineLevel="3" x14ac:dyDescent="0.3">
      <c r="A225" s="3" t="s">
        <v>339</v>
      </c>
      <c r="B225" s="4" t="s">
        <v>340</v>
      </c>
      <c r="C225" s="19">
        <f>530369/1000</f>
        <v>530.36900000000003</v>
      </c>
      <c r="D225" s="19">
        <f>530369/1000</f>
        <v>530.36900000000003</v>
      </c>
    </row>
    <row r="226" spans="1:8" ht="39.6" outlineLevel="3" x14ac:dyDescent="0.3">
      <c r="A226" s="3" t="s">
        <v>341</v>
      </c>
      <c r="B226" s="4" t="s">
        <v>342</v>
      </c>
      <c r="C226" s="19">
        <f>12971400/1000</f>
        <v>12971.4</v>
      </c>
      <c r="D226" s="19">
        <f>12971279.11/1000</f>
        <v>12971.279109999999</v>
      </c>
      <c r="F226" s="15"/>
      <c r="G226" s="14"/>
      <c r="H226" s="14"/>
    </row>
    <row r="227" spans="1:8" ht="28.2" customHeight="1" outlineLevel="3" x14ac:dyDescent="0.3">
      <c r="A227" s="11" t="s">
        <v>343</v>
      </c>
      <c r="B227" s="12" t="s">
        <v>344</v>
      </c>
      <c r="C227" s="23">
        <f>14687466.75/1000</f>
        <v>14687.46675</v>
      </c>
      <c r="D227" s="23">
        <f>15229273.89/1000</f>
        <v>15229.27389</v>
      </c>
    </row>
    <row r="228" spans="1:8" ht="12.75" customHeight="1" x14ac:dyDescent="0.3">
      <c r="A228" s="31" t="s">
        <v>345</v>
      </c>
      <c r="B228" s="32"/>
      <c r="C228" s="24">
        <f>C11+C59+C62+C91+C102+C105+C108+C111+C117+C122+C138+C155+C161+C165+C168+C171+C174+C177+C180+C183+C186+C189+C192</f>
        <v>1091025.74431</v>
      </c>
      <c r="D228" s="24">
        <f>D11+D59+D62+D91+D102+D105+D108+D111+D117+D122+D138+D155+D161+D165+D168+D171+D174+D177+D180+D183+D186+D189+D192</f>
        <v>1100202.46288</v>
      </c>
    </row>
  </sheetData>
  <mergeCells count="8">
    <mergeCell ref="A228:B228"/>
    <mergeCell ref="A2:D2"/>
    <mergeCell ref="A3:D3"/>
    <mergeCell ref="A4:D4"/>
    <mergeCell ref="A6:B6"/>
    <mergeCell ref="A7:B7"/>
    <mergeCell ref="A8:B8"/>
    <mergeCell ref="A9:B9"/>
  </mergeCells>
  <pageMargins left="0.78740157480314965" right="0.39370078740157483" top="0.39370078740157483" bottom="0.39370078740157483" header="0.19685039370078741" footer="0.19685039370078741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SVOD_ROSP&lt;/Code&gt;&#10;  &lt;ObjectCode&gt;SQUERY_SVOD_ROSP&lt;/ObjectCode&gt;&#10;  &lt;DocName&gt;Сводная бюджетная роспись&lt;/DocName&gt;&#10;  &lt;VariantName&gt;Программы+непрограммные направления (копия от 18.01.2019 13:53:00)&lt;/VariantName&gt;&#10;  &lt;VariantLink&gt;35816358&lt;/VariantLink&gt;&#10;  &lt;SvodReportLink xsi:nil=&quot;true&quot; /&gt;&#10;  &lt;ReportLink&gt;126924&lt;/ReportLink&gt;&#10;  &lt;Note&gt;01.01.2021 - 30.09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52978F5-4D4E-447C-8B24-54D9F05368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Думу</vt:lpstr>
      <vt:lpstr>'На Думу'!Заголовки_для_печати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2021-10-21T09:12:50Z</cp:lastPrinted>
  <dcterms:created xsi:type="dcterms:W3CDTF">2021-09-23T04:30:36Z</dcterms:created>
  <dcterms:modified xsi:type="dcterms:W3CDTF">2021-10-28T23:26:20Z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21.1.12.6210 (.NET 4.0)</vt:lpwstr>
  </property>
  <property fmtid="{D5CDD505-2E9C-101B-9397-08002B2CF9AE}" pid="4" name="Версия базы">
    <vt:lpwstr>21.1.1422.27231614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budgetsmart2021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Программы+непрограммные направления (копия от 18.01.2019 13:53:00)</vt:lpwstr>
  </property>
  <property fmtid="{D5CDD505-2E9C-101B-9397-08002B2CF9AE}" pid="11" name="Код отчета">
    <vt:lpwstr>A92899BB2AB84413A65AE7A3704B5A</vt:lpwstr>
  </property>
  <property fmtid="{D5CDD505-2E9C-101B-9397-08002B2CF9AE}" pid="12" name="Локальная база">
    <vt:lpwstr>не используется</vt:lpwstr>
  </property>
</Properties>
</file>