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456" windowHeight="8196" tabRatio="435"/>
  </bookViews>
  <sheets>
    <sheet name="Документ" sheetId="1" r:id="rId1"/>
  </sheets>
  <definedNames>
    <definedName name="_xlnm.Print_Area" localSheetId="0">Документ!$A$2:$E$130</definedName>
  </definedNames>
  <calcPr calcId="124519"/>
</workbook>
</file>

<file path=xl/calcChain.xml><?xml version="1.0" encoding="utf-8"?>
<calcChain xmlns="http://schemas.openxmlformats.org/spreadsheetml/2006/main">
  <c r="E27" i="1"/>
  <c r="D27"/>
  <c r="C27"/>
  <c r="E26"/>
  <c r="D26"/>
  <c r="C26"/>
  <c r="E25"/>
  <c r="D25"/>
  <c r="C25"/>
  <c r="E24"/>
  <c r="D24"/>
  <c r="C24"/>
  <c r="D103" l="1"/>
  <c r="E103"/>
  <c r="C103"/>
  <c r="D125"/>
  <c r="E125"/>
  <c r="C125"/>
  <c r="D129" l="1"/>
  <c r="E129"/>
  <c r="C129"/>
  <c r="D128"/>
  <c r="E128"/>
  <c r="C128"/>
  <c r="E110"/>
  <c r="D110"/>
  <c r="C110"/>
  <c r="E124"/>
  <c r="D124"/>
  <c r="C124"/>
  <c r="D123"/>
  <c r="E123"/>
  <c r="C123"/>
  <c r="E122"/>
  <c r="D122"/>
  <c r="C122"/>
  <c r="E121"/>
  <c r="D121"/>
  <c r="C121"/>
  <c r="D120"/>
  <c r="E120"/>
  <c r="C120"/>
  <c r="E119"/>
  <c r="D119"/>
  <c r="C119"/>
  <c r="E118"/>
  <c r="D118"/>
  <c r="C118"/>
  <c r="E117"/>
  <c r="D117"/>
  <c r="C117"/>
  <c r="D116"/>
  <c r="E116"/>
  <c r="C116"/>
  <c r="E115"/>
  <c r="D115"/>
  <c r="C115"/>
  <c r="E114"/>
  <c r="D114"/>
  <c r="C114"/>
  <c r="E113"/>
  <c r="D113"/>
  <c r="C113"/>
  <c r="E112"/>
  <c r="D112"/>
  <c r="C112"/>
  <c r="E109"/>
  <c r="D109"/>
  <c r="C109"/>
  <c r="E108"/>
  <c r="D108"/>
  <c r="C108"/>
  <c r="E107"/>
  <c r="D107"/>
  <c r="C107"/>
  <c r="E126"/>
  <c r="D126"/>
  <c r="C126"/>
  <c r="E106"/>
  <c r="D106"/>
  <c r="C106"/>
  <c r="E105"/>
  <c r="D105"/>
  <c r="C105"/>
  <c r="D104"/>
  <c r="E104"/>
  <c r="C104"/>
  <c r="C93"/>
  <c r="E92"/>
  <c r="D92"/>
  <c r="C92"/>
  <c r="D100"/>
  <c r="E100"/>
  <c r="C100"/>
  <c r="C99"/>
  <c r="D98"/>
  <c r="E98"/>
  <c r="C98"/>
  <c r="C97"/>
  <c r="C96"/>
  <c r="C94" s="1"/>
  <c r="C95"/>
  <c r="E91"/>
  <c r="D91"/>
  <c r="C91"/>
  <c r="C90"/>
  <c r="C89"/>
  <c r="C88" s="1"/>
  <c r="C87"/>
  <c r="E80"/>
  <c r="D80"/>
  <c r="C80"/>
  <c r="D77"/>
  <c r="E77"/>
  <c r="C77"/>
  <c r="D76"/>
  <c r="E76"/>
  <c r="C76"/>
  <c r="D75"/>
  <c r="E75"/>
  <c r="C75"/>
  <c r="D74"/>
  <c r="E74"/>
  <c r="C74"/>
  <c r="D73"/>
  <c r="E73"/>
  <c r="C73"/>
  <c r="D72"/>
  <c r="E72"/>
  <c r="C72"/>
  <c r="D71"/>
  <c r="E71"/>
  <c r="C71"/>
  <c r="D70"/>
  <c r="E70"/>
  <c r="C70"/>
  <c r="D68"/>
  <c r="E68"/>
  <c r="C68"/>
  <c r="D67"/>
  <c r="E67"/>
  <c r="C67"/>
  <c r="D66"/>
  <c r="E66"/>
  <c r="C66"/>
  <c r="D65"/>
  <c r="E65"/>
  <c r="C65"/>
  <c r="E61"/>
  <c r="D61"/>
  <c r="C61"/>
  <c r="E60"/>
  <c r="D60"/>
  <c r="C60"/>
  <c r="D58"/>
  <c r="E58"/>
  <c r="C58"/>
  <c r="E56"/>
  <c r="D56"/>
  <c r="C56"/>
  <c r="D53"/>
  <c r="E53"/>
  <c r="C53"/>
  <c r="D52"/>
  <c r="E52"/>
  <c r="C52"/>
  <c r="D51"/>
  <c r="E51"/>
  <c r="C51"/>
  <c r="D50"/>
  <c r="E50"/>
  <c r="C50"/>
  <c r="E47"/>
  <c r="D47"/>
  <c r="E46"/>
  <c r="D46"/>
  <c r="E45"/>
  <c r="D45"/>
  <c r="D38"/>
  <c r="E38"/>
  <c r="C38"/>
  <c r="D37"/>
  <c r="E37"/>
  <c r="C37"/>
  <c r="D35"/>
  <c r="E35"/>
  <c r="C35"/>
  <c r="C47" l="1"/>
  <c r="C46"/>
  <c r="C45"/>
  <c r="D40"/>
  <c r="E40"/>
  <c r="D41"/>
  <c r="E41"/>
  <c r="D42"/>
  <c r="E42"/>
  <c r="C42"/>
  <c r="C41"/>
  <c r="C40"/>
  <c r="D29"/>
  <c r="E29"/>
  <c r="D30"/>
  <c r="E30"/>
  <c r="D32"/>
  <c r="E32"/>
  <c r="D33"/>
  <c r="E33"/>
  <c r="C33"/>
  <c r="C32"/>
  <c r="C30"/>
  <c r="C29"/>
  <c r="D19"/>
  <c r="E19"/>
  <c r="C19"/>
  <c r="D18"/>
  <c r="E18"/>
  <c r="C18"/>
  <c r="D17"/>
  <c r="E17"/>
  <c r="C17"/>
  <c r="D16"/>
  <c r="E16"/>
  <c r="C16" l="1"/>
  <c r="D62" l="1"/>
  <c r="E62"/>
  <c r="D14"/>
  <c r="D13" s="1"/>
  <c r="E14"/>
  <c r="E13" s="1"/>
  <c r="D59"/>
  <c r="E59"/>
  <c r="C59"/>
  <c r="C39"/>
  <c r="D44"/>
  <c r="E44"/>
  <c r="C44"/>
  <c r="D36"/>
  <c r="D34" s="1"/>
  <c r="E36"/>
  <c r="E34" s="1"/>
  <c r="C36"/>
  <c r="C34" s="1"/>
  <c r="D28"/>
  <c r="E28"/>
  <c r="G86"/>
  <c r="H86"/>
  <c r="F86"/>
  <c r="D86"/>
  <c r="E86"/>
  <c r="C86"/>
  <c r="F48"/>
  <c r="F28"/>
  <c r="F88"/>
  <c r="F14"/>
  <c r="C57"/>
  <c r="F54"/>
  <c r="G103"/>
  <c r="H103"/>
  <c r="F103"/>
  <c r="F23"/>
  <c r="F22" s="1"/>
  <c r="E111"/>
  <c r="G127"/>
  <c r="H127"/>
  <c r="F127"/>
  <c r="C127"/>
  <c r="D127"/>
  <c r="E127"/>
  <c r="D57"/>
  <c r="E57"/>
  <c r="D55"/>
  <c r="D54" s="1"/>
  <c r="E55"/>
  <c r="E54" s="1"/>
  <c r="C55"/>
  <c r="D39"/>
  <c r="D94"/>
  <c r="D88" s="1"/>
  <c r="F62"/>
  <c r="H88"/>
  <c r="G88"/>
  <c r="E94"/>
  <c r="E88" s="1"/>
  <c r="D23"/>
  <c r="D22" s="1"/>
  <c r="C23"/>
  <c r="C22" s="1"/>
  <c r="C49"/>
  <c r="C48" s="1"/>
  <c r="E23"/>
  <c r="E22" s="1"/>
  <c r="C62"/>
  <c r="E49"/>
  <c r="E48" s="1"/>
  <c r="D49"/>
  <c r="D48" s="1"/>
  <c r="F84" l="1"/>
  <c r="C111"/>
  <c r="F12"/>
  <c r="F130" s="1"/>
  <c r="C28"/>
  <c r="E85"/>
  <c r="E39"/>
  <c r="E12" s="1"/>
  <c r="H84"/>
  <c r="H130" s="1"/>
  <c r="D111"/>
  <c r="C54"/>
  <c r="G84"/>
  <c r="G130" s="1"/>
  <c r="C14"/>
  <c r="C13" s="1"/>
  <c r="E84"/>
  <c r="D12"/>
  <c r="D85" l="1"/>
  <c r="C85"/>
  <c r="D84"/>
  <c r="D130" s="1"/>
  <c r="C84"/>
  <c r="C12"/>
  <c r="E130"/>
  <c r="C130" l="1"/>
</calcChain>
</file>

<file path=xl/sharedStrings.xml><?xml version="1.0" encoding="utf-8"?>
<sst xmlns="http://schemas.openxmlformats.org/spreadsheetml/2006/main" count="222" uniqueCount="222">
  <si>
    <t>Код доходов</t>
  </si>
  <si>
    <t xml:space="preserve">Источники </t>
  </si>
  <si>
    <t xml:space="preserve">1 01 00000 00 0000 000 </t>
  </si>
  <si>
    <t xml:space="preserve">1 01 02000 01 0000 110 </t>
  </si>
  <si>
    <t>Налог на доходы физических лиц</t>
  </si>
  <si>
    <t xml:space="preserve"> в том числе:       </t>
  </si>
  <si>
    <t>1 01 02040 01 0000 110</t>
  </si>
  <si>
    <t>1 01 02010 01 0000 110</t>
  </si>
  <si>
    <t>1 01 02030 01 0000 110</t>
  </si>
  <si>
    <t>1 05 00000 00 0000 000</t>
  </si>
  <si>
    <t>1 05 02010 02 0000 110</t>
  </si>
  <si>
    <t>1 05 03010 01 0000 110</t>
  </si>
  <si>
    <t>1 06 00000 00 0000 000</t>
  </si>
  <si>
    <t>1 08 00000 00 0000 000</t>
  </si>
  <si>
    <t>1 08 03010 01 0000 110</t>
  </si>
  <si>
    <t>1 09 00000 00 0000 000</t>
  </si>
  <si>
    <t>1 11 00000 00 0000 000</t>
  </si>
  <si>
    <t>1 14 00000 00 0000 000</t>
  </si>
  <si>
    <t>1 12 00000 00 0000 000</t>
  </si>
  <si>
    <t>1 12 01000 01 0000 120</t>
  </si>
  <si>
    <t>1 16 00000 00 0000 000</t>
  </si>
  <si>
    <t>Единый налог на вмененный доход для отдельных видов деятельности</t>
  </si>
  <si>
    <t>Единый сельскохозяйственный налог</t>
  </si>
  <si>
    <t>НАЛОГОВЫЕ, НЕНАЛОГОВЫЕ ДОХОДЫ</t>
  </si>
  <si>
    <t>1 00 00000 00 0000 000</t>
  </si>
  <si>
    <t>1 01 02020 01 0000 110</t>
  </si>
  <si>
    <t>1 13 00000 00 0000 000</t>
  </si>
  <si>
    <t>1 13 01000 00 0000 130</t>
  </si>
  <si>
    <t xml:space="preserve">Доходы от оказания платных услуг (работ) </t>
  </si>
  <si>
    <t>1 13 02000 00 0000 130</t>
  </si>
  <si>
    <t>Доходы от компенсации затрат государства</t>
  </si>
  <si>
    <t>1 12 01030 01 0000 120</t>
  </si>
  <si>
    <t>1 12 01040 01 0000 120</t>
  </si>
  <si>
    <t>Плата за размещение отходов производства и потребления</t>
  </si>
  <si>
    <t>1 12 01010 01 0000 120</t>
  </si>
  <si>
    <t>Плата за выбросы загрязняющих веществ в атмосферный воздух стационарными объектами</t>
  </si>
  <si>
    <t>1 08 07150 01 1000 110</t>
  </si>
  <si>
    <t>Государственная пошлина за выдачу разрешения на установку рекламной конструкции</t>
  </si>
  <si>
    <t>Плата за негативное воздействие на окружающую среду</t>
  </si>
  <si>
    <t>1 03 00000 00 0000 000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</si>
  <si>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</si>
  <si>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</si>
  <si>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</si>
  <si>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1 03 02240 01 0000 110</t>
  </si>
  <si>
    <t>1 03 02250 01 0000 110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</si>
  <si>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</si>
  <si>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</si>
  <si>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</si>
  <si>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</si>
  <si>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</si>
  <si>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1 16 10129 01 0000 140</t>
  </si>
  <si>
    <t>1 16 01053 01 0000 140</t>
  </si>
  <si>
    <t>1 16 01063 01 0000 140</t>
  </si>
  <si>
    <t>1 16 01073 01 0000 140</t>
  </si>
  <si>
    <t>1 16 01083 01 0000 140</t>
  </si>
  <si>
    <t>1 16 01143 01 0000 140</t>
  </si>
  <si>
    <t>1 16 01153 01 0000 140</t>
  </si>
  <si>
    <t>1 16 01193 01 0000 140</t>
  </si>
  <si>
    <t>1 16 01203 01 0000 140</t>
  </si>
  <si>
    <t>1 05 01011 01 0000 110</t>
  </si>
  <si>
    <t>1 05 01021 01 0000 110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</si>
  <si>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</si>
  <si>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2 00 00000 00 0000 000 </t>
  </si>
  <si>
    <t>2 02 00000 00 0000 000</t>
  </si>
  <si>
    <t xml:space="preserve">2 02 10000 00 0000 000 </t>
  </si>
  <si>
    <t>субсидии на комплектование книжных фондов и обеспечение информационно-техническим оборудованием библиотек</t>
  </si>
  <si>
    <t>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</t>
  </si>
  <si>
    <t>2 02 30000 00 0000 150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</si>
  <si>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</si>
  <si>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</si>
  <si>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</si>
  <si>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субвенции на организацию и обеспечение оздоровления и отдыха детей Приморского края (за исключением организации отдыха детей в каникулярное время)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</si>
  <si>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</si>
  <si>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2 02 40000 00 0000 150</t>
  </si>
  <si>
    <t>Иные межбюджетные трансферты</t>
  </si>
  <si>
    <t>субсидии на реализацию проектов инициативного бюджетирования по направлению "Твой проект"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</si>
  <si>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</si>
  <si>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</si>
  <si>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1 16 10123 01 0000 140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</si>
  <si>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</si>
  <si>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</si>
  <si>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</si>
  <si>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1 16 01103 01 0000 140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</si>
  <si>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</si>
  <si>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</si>
  <si>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</si>
  <si>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Объем</t>
  </si>
  <si>
    <t>субвенции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</si>
  <si>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</si>
  <si>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субвенции на реализацию  государственных полномочий органов опеки и попечительства в отношении несовершеннолетних  </t>
  </si>
  <si>
    <t>субвенции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</si>
  <si>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>2 02 30024 14 0000 150</t>
  </si>
  <si>
    <t>2 02 35304 14 0000 150</t>
  </si>
  <si>
    <t>2 02 30029 14 0000 150</t>
  </si>
  <si>
    <t>2 02 35082 14 0000 150</t>
  </si>
  <si>
    <t>2 02 45179 14 0000 150</t>
  </si>
  <si>
    <t>2 02 45303 14 0000 150</t>
  </si>
  <si>
    <t>2 02 19999 14 0000 150</t>
  </si>
  <si>
    <t>Иные дотации в целях поощрения муниципальных округов в связи с их образованием в течение трех финансовых лет после образования соответствующих муниципальных округов</t>
  </si>
  <si>
    <t>субвенции на обеспечение жилыми помещениями детей-сирот и детей, оставшихся без попечения родителей, лиц из их числа за счет средств краевого бюджета</t>
  </si>
  <si>
    <t>2 02 35118 14 0000 150</t>
  </si>
  <si>
    <t>2 02 35120 14 0000 150</t>
  </si>
  <si>
    <t>2 02 35930 14 0000 150</t>
  </si>
  <si>
    <t>2 02 36900 14 0000 150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</si>
  <si>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</si>
  <si>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2 02 39999 14 0000 150</t>
  </si>
  <si>
    <t>2 02 25098 14 0000 150</t>
  </si>
  <si>
    <t xml:space="preserve">2 02 25750 14 0000 150 </t>
  </si>
  <si>
    <t xml:space="preserve">2 02 29999 14 0000 150 </t>
  </si>
  <si>
    <t xml:space="preserve">2 02 25467 14 0000 150 </t>
  </si>
  <si>
    <t xml:space="preserve">2 02 25519 14 0000 150 </t>
  </si>
  <si>
    <t xml:space="preserve">2 02 25497 14 0000 150 </t>
  </si>
  <si>
    <t>cубсидии на приобретение и поставку спортивного инвентаря, спортивного оборудования и иного имущества для развития массового спорта</t>
  </si>
  <si>
    <t>субсидии на организацию транспортного обслуживания населения в границах муниципальных образований Приморского края</t>
  </si>
  <si>
    <t xml:space="preserve">субсидии на обеспечение граждан твердым топливом </t>
  </si>
  <si>
    <t>cубсидии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</si>
  <si>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субсидии на поддержку муниципальных программ по благоустройству территорий муниципальных образований</t>
  </si>
  <si>
    <t xml:space="preserve">2 02 20000 00 0000 000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</si>
  <si>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</si>
  <si>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</si>
  <si>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</si>
  <si>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</si>
  <si>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</si>
  <si>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</si>
  <si>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1 01 02130 01 0000 110</t>
  </si>
  <si>
    <t>1 01 02080 01 0000 110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</si>
  <si>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</si>
  <si>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</si>
  <si>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в связи с применением патентной системы налогообложения, зачисляемый в бюджеты муниципальных округов</t>
  </si>
  <si>
    <t>1 05 04060 02 0000 110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</si>
  <si>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</si>
  <si>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</si>
  <si>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1 06 06000 00 0000 110</t>
  </si>
  <si>
    <t>Земельный налог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</si>
  <si>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</si>
  <si>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</si>
  <si>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</si>
  <si>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</si>
  <si>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1 11 05012 14 0000 120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</si>
  <si>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</si>
  <si>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</si>
  <si>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</si>
  <si>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</si>
  <si>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сбросы загрязняющих веществ в водные объекты</t>
  </si>
  <si>
    <t>1 12 05040 14 0000 120</t>
  </si>
  <si>
    <t>Плата за пользование водными объектами, находящимися в собственности муниципальных округов</t>
  </si>
  <si>
    <t xml:space="preserve">1 13 01994 14 0000 130
</t>
  </si>
  <si>
    <t>Прочие доходы от оказания платных услуг (работ) получателями средств бюджетов муниципальных округов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</si>
  <si>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</si>
  <si>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</si>
  <si>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1 13 02994 14 0000 130</t>
  </si>
  <si>
    <t>Прочие доходы от компенсации затрат бюджетов муниципальных округов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</si>
  <si>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</si>
  <si>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</si>
  <si>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</si>
  <si>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</si>
  <si>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</si>
  <si>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</si>
  <si>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</si>
  <si>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</si>
  <si>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</si>
  <si>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</si>
  <si>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</si>
  <si>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</si>
  <si>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</si>
  <si>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1 16 10032 14 0000 140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</si>
  <si>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</si>
  <si>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16 07090 14 0000 140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</si>
  <si>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муниципального округа</t>
  </si>
  <si>
    <t>1 16 07010 14 0000 140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</si>
  <si>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</si>
  <si>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</si>
  <si>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</si>
  <si>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</si>
  <si>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1 16 01133 01 0000 140</t>
  </si>
  <si>
    <t>1 17 01040 14 0000 180</t>
  </si>
  <si>
    <t>Невыясненные поступления, зачисляемые в бюджеты муниципальных округов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</si>
  <si>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</si>
  <si>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</si>
  <si>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</si>
  <si>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ПРОЕКТ</t>
  </si>
  <si>
    <t>тыс. рублей</t>
  </si>
  <si>
    <t>ЗАДОЛЖЕННОСТЬ И ПЕРЕРАСЧЕТЫ ПО ОТМЕНЕННЫМ НАЛОГАМ, СБОРАМ И ИНЫМ ОБЯЗАТЕЛЬНЫМ ПЛАТЕЖАМ</t>
  </si>
  <si>
    <t xml:space="preserve"> 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</si>
  <si>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</si>
  <si>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</si>
  <si>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</si>
  <si>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</si>
  <si>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</si>
  <si>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</si>
  <si>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</si>
  <si>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</si>
  <si>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</si>
  <si>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</si>
  <si>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</si>
  <si>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</si>
  <si>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</si>
  <si>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Прочие субсидии бюджетам муниципальных округов, в том числе:</t>
  </si>
  <si>
    <t>Субвенции бюджетам бюджетной системы Российской Федерации</t>
  </si>
  <si>
    <t>ВСЕГО ДОХОДОВ</t>
  </si>
  <si>
    <t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</si>
  <si>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</si>
  <si>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</si>
  <si>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поддержку отрасли культуры</t>
  </si>
  <si>
    <t>Субсидии бюджетам муниципальных округов на реализацию мероприятий по модернизации школьных систем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</si>
  <si>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</si>
  <si>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</si>
  <si>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муниципальных округов на государственную регистрацию актов гражданского состояния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</si>
  <si>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</si>
  <si>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Единая субвенция бюджетам муниципальных округов из бюджета субъекта Российской Федерации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</si>
  <si>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</si>
  <si>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</si>
  <si>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субвенции бюджетам муниципальных округов, в том числе:</t>
  </si>
  <si>
    <t>Субвенции бюджетам муниципальных округов на выполнение передаваемых полномочий субъектов Российской Федерации, в том числе:</t>
  </si>
  <si>
    <t>субвенции на 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</si>
  <si>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>субвенции на реализацию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</si>
  <si>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 Приморского края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</si>
  <si>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</si>
  <si>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</si>
  <si>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к решению Думы Черниговского муниципального округа         от ___.12.2023 № ____-НПА</t>
  </si>
  <si>
    <t xml:space="preserve">Приложение 3 </t>
  </si>
  <si>
    <t xml:space="preserve"> доходов бюджета Черниговского округа в 2024 году и плановом периоде 2025 и 2026 годов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</si>
</sst>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00000"/>
  </numFmts>
  <fonts count="31">
    <font>
      <sz val="10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indexed="8"/>
      <name val="Calibri"/>
      <family val="2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9"/>
      <color rgb="FF000000"/>
      <name val="Cambria"/>
      <family val="1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9" fontId="11" fillId="0" borderId="2">
      <alignment horizontal="left" vertical="center" wrapText="1" indent="1"/>
    </xf>
    <xf numFmtId="1" fontId="11" fillId="0" borderId="3">
      <alignment horizontal="center" vertical="center" shrinkToFit="1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2" fillId="8" borderId="4" applyNumberFormat="0" applyAlignment="0" applyProtection="0"/>
    <xf numFmtId="0" fontId="13" fillId="9" borderId="5" applyNumberFormat="0" applyAlignment="0" applyProtection="0"/>
    <xf numFmtId="0" fontId="14" fillId="9" borderId="4" applyNumberFormat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10" applyNumberFormat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4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4" fillId="13" borderId="11" applyNumberFormat="0" applyFont="0" applyAlignment="0" applyProtection="0"/>
    <xf numFmtId="0" fontId="4" fillId="13" borderId="11" applyNumberFormat="0" applyFont="0" applyAlignment="0" applyProtection="0"/>
    <xf numFmtId="0" fontId="4" fillId="13" borderId="11" applyNumberFormat="0" applyFont="0" applyAlignment="0" applyProtection="0"/>
    <xf numFmtId="0" fontId="4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9" fillId="13" borderId="11" applyNumberFormat="0" applyFont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4" borderId="0" applyNumberFormat="0" applyBorder="0" applyAlignment="0" applyProtection="0"/>
  </cellStyleXfs>
  <cellXfs count="8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15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1" fontId="29" fillId="0" borderId="1" xfId="2" applyNumberFormat="1" applyFont="1" applyFill="1" applyBorder="1" applyProtection="1">
      <alignment horizontal="center" vertical="center" shrinkToFit="1"/>
    </xf>
    <xf numFmtId="4" fontId="2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4" fontId="28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 wrapText="1"/>
    </xf>
    <xf numFmtId="164" fontId="6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vertical="center" wrapText="1"/>
    </xf>
    <xf numFmtId="4" fontId="28" fillId="0" borderId="0" xfId="0" applyNumberFormat="1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left" vertical="center"/>
    </xf>
    <xf numFmtId="164" fontId="30" fillId="0" borderId="0" xfId="0" applyNumberFormat="1" applyFont="1" applyFill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8" fillId="0" borderId="1" xfId="0" applyNumberFormat="1" applyFont="1" applyFill="1" applyBorder="1" applyAlignment="1">
      <alignment horizontal="center" vertical="center" wrapText="1"/>
    </xf>
    <xf numFmtId="164" fontId="2" fillId="19" borderId="1" xfId="0" applyNumberFormat="1" applyFont="1" applyFill="1" applyBorder="1" applyAlignment="1">
      <alignment horizontal="center" vertical="center" wrapText="1"/>
    </xf>
    <xf numFmtId="164" fontId="2" fillId="17" borderId="1" xfId="0" applyNumberFormat="1" applyFont="1" applyFill="1" applyBorder="1" applyAlignment="1">
      <alignment horizontal="center" vertical="center" wrapText="1"/>
    </xf>
    <xf numFmtId="164" fontId="2" fillId="17" borderId="1" xfId="0" applyNumberFormat="1" applyFont="1" applyFill="1" applyBorder="1" applyAlignment="1">
      <alignment horizontal="center" vertical="center"/>
    </xf>
    <xf numFmtId="164" fontId="6" fillId="18" borderId="1" xfId="0" applyNumberFormat="1" applyFont="1" applyFill="1" applyBorder="1" applyAlignment="1">
      <alignment horizontal="center" vertical="center" wrapText="1"/>
    </xf>
    <xf numFmtId="164" fontId="6" fillId="16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164" fontId="7" fillId="19" borderId="1" xfId="0" applyNumberFormat="1" applyFont="1" applyFill="1" applyBorder="1" applyAlignment="1">
      <alignment horizontal="center" vertical="center" wrapText="1"/>
    </xf>
    <xf numFmtId="164" fontId="6" fillId="19" borderId="1" xfId="0" applyNumberFormat="1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justify" vertical="center" wrapText="1"/>
    </xf>
    <xf numFmtId="0" fontId="6" fillId="19" borderId="1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49" fontId="29" fillId="0" borderId="1" xfId="2" applyNumberFormat="1" applyFont="1" applyFill="1" applyBorder="1" applyProtection="1">
      <alignment horizontal="center" vertical="center" shrinkToFit="1"/>
    </xf>
    <xf numFmtId="0" fontId="6" fillId="17" borderId="1" xfId="0" applyFont="1" applyFill="1" applyBorder="1" applyAlignment="1">
      <alignment horizontal="center" vertical="center"/>
    </xf>
    <xf numFmtId="164" fontId="6" fillId="17" borderId="1" xfId="0" applyNumberFormat="1" applyFont="1" applyFill="1" applyBorder="1" applyAlignment="1">
      <alignment horizontal="center" vertical="center" wrapText="1"/>
    </xf>
    <xf numFmtId="164" fontId="5" fillId="19" borderId="1" xfId="0" applyNumberFormat="1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justify" vertical="center" wrapText="1"/>
    </xf>
    <xf numFmtId="49" fontId="29" fillId="0" borderId="1" xfId="1" applyFont="1" applyFill="1" applyBorder="1" applyAlignment="1" applyProtection="1">
      <alignment horizontal="justify" vertical="center" wrapText="1"/>
    </xf>
    <xf numFmtId="0" fontId="6" fillId="16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vertical="center" wrapText="1"/>
    </xf>
    <xf numFmtId="0" fontId="27" fillId="0" borderId="1" xfId="0" applyFont="1" applyBorder="1" applyAlignment="1">
      <alignment horizontal="justify" wrapText="1"/>
    </xf>
    <xf numFmtId="0" fontId="27" fillId="0" borderId="1" xfId="0" applyNumberFormat="1" applyFont="1" applyBorder="1" applyAlignment="1">
      <alignment horizontal="justify" wrapText="1"/>
    </xf>
    <xf numFmtId="2" fontId="2" fillId="0" borderId="1" xfId="0" applyNumberFormat="1" applyFont="1" applyFill="1" applyBorder="1" applyAlignment="1">
      <alignment horizontal="justify" wrapText="1"/>
    </xf>
    <xf numFmtId="0" fontId="2" fillId="19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justify" wrapText="1"/>
    </xf>
    <xf numFmtId="0" fontId="2" fillId="17" borderId="1" xfId="0" applyFont="1" applyFill="1" applyBorder="1" applyAlignment="1">
      <alignment horizontal="justify" vertical="center" wrapText="1"/>
    </xf>
    <xf numFmtId="0" fontId="2" fillId="19" borderId="1" xfId="0" applyFont="1" applyFill="1" applyBorder="1" applyAlignment="1">
      <alignment horizontal="justify" wrapText="1"/>
    </xf>
    <xf numFmtId="49" fontId="29" fillId="0" borderId="1" xfId="1" applyFont="1" applyFill="1" applyBorder="1" applyAlignment="1" applyProtection="1">
      <alignment horizontal="justify" wrapText="1"/>
    </xf>
    <xf numFmtId="49" fontId="29" fillId="0" borderId="1" xfId="1" applyFont="1" applyFill="1" applyBorder="1" applyAlignment="1" applyProtection="1">
      <alignment horizontal="justify" vertical="top" wrapText="1"/>
    </xf>
    <xf numFmtId="0" fontId="6" fillId="17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49" fontId="2" fillId="17" borderId="1" xfId="0" applyNumberFormat="1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2" fillId="19" borderId="1" xfId="0" applyNumberFormat="1" applyFont="1" applyFill="1" applyBorder="1" applyAlignment="1">
      <alignment horizontal="justify" vertical="center" wrapText="1"/>
    </xf>
    <xf numFmtId="165" fontId="29" fillId="0" borderId="1" xfId="1" applyNumberFormat="1" applyFont="1" applyFill="1" applyBorder="1" applyAlignment="1" applyProtection="1">
      <alignment horizontal="justify" vertical="center" wrapText="1"/>
    </xf>
    <xf numFmtId="164" fontId="30" fillId="0" borderId="0" xfId="0" applyNumberFormat="1" applyFont="1" applyFill="1" applyAlignment="1">
      <alignment horizontal="right" vertical="center"/>
    </xf>
    <xf numFmtId="164" fontId="30" fillId="17" borderId="0" xfId="0" applyNumberFormat="1" applyFont="1" applyFill="1" applyAlignment="1">
      <alignment horizontal="right" vertical="center"/>
    </xf>
    <xf numFmtId="164" fontId="30" fillId="0" borderId="0" xfId="0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xl29" xfId="1"/>
    <cellStyle name="xl40" xfId="2"/>
    <cellStyle name="Акцент1" xfId="3" builtinId="29" customBuiltin="1"/>
    <cellStyle name="Акцент2" xfId="4" builtinId="33" customBuiltin="1"/>
    <cellStyle name="Акцент3" xfId="5" builtinId="37" customBuiltin="1"/>
    <cellStyle name="Акцент4" xfId="6" builtinId="41" customBuiltin="1"/>
    <cellStyle name="Акцент5" xfId="7" builtinId="45" customBuiltin="1"/>
    <cellStyle name="Акцент6" xfId="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Плохой" xfId="20" builtinId="27" customBuiltin="1"/>
    <cellStyle name="Пояснение" xfId="21" builtinId="53" customBuiltin="1"/>
    <cellStyle name="Примечание 10" xfId="22"/>
    <cellStyle name="Примечание 11" xfId="23"/>
    <cellStyle name="Примечание 12" xfId="24"/>
    <cellStyle name="Примечание 13" xfId="25"/>
    <cellStyle name="Примечание 14" xfId="26"/>
    <cellStyle name="Примечание 15" xfId="27"/>
    <cellStyle name="Примечание 16" xfId="28"/>
    <cellStyle name="Примечание 17" xfId="29"/>
    <cellStyle name="Примечание 18" xfId="30"/>
    <cellStyle name="Примечание 19" xfId="31"/>
    <cellStyle name="Примечание 2" xfId="32"/>
    <cellStyle name="Примечание 20" xfId="33"/>
    <cellStyle name="Примечание 21" xfId="34"/>
    <cellStyle name="Примечание 22" xfId="35"/>
    <cellStyle name="Примечание 23" xfId="36"/>
    <cellStyle name="Примечание 24" xfId="37"/>
    <cellStyle name="Примечание 25" xfId="38"/>
    <cellStyle name="Примечание 3" xfId="39"/>
    <cellStyle name="Примечание 4" xfId="40"/>
    <cellStyle name="Примечание 5" xfId="41"/>
    <cellStyle name="Примечание 6" xfId="42"/>
    <cellStyle name="Примечание 7" xfId="43"/>
    <cellStyle name="Примечание 8" xfId="44"/>
    <cellStyle name="Примечание 9" xfId="45"/>
    <cellStyle name="Связанная ячейка" xfId="46" builtinId="24" customBuiltin="1"/>
    <cellStyle name="Текст предупреждения" xfId="47" builtinId="11" customBuiltin="1"/>
    <cellStyle name="Хороший" xfId="48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30"/>
  <sheetViews>
    <sheetView tabSelected="1" view="pageBreakPreview" topLeftCell="A2" zoomScaleSheetLayoutView="100" workbookViewId="0">
      <selection activeCell="J8" sqref="J8"/>
    </sheetView>
  </sheetViews>
  <sheetFormatPr defaultColWidth="9.109375" defaultRowHeight="13.8"/>
  <cols>
    <col min="1" max="1" width="21.44140625" style="1" customWidth="1"/>
    <col min="2" max="2" width="67" style="2" customWidth="1"/>
    <col min="3" max="5" width="14.5546875" style="5" customWidth="1"/>
    <col min="6" max="6" width="13.44140625" style="2" customWidth="1"/>
    <col min="7" max="7" width="13" style="2" customWidth="1"/>
    <col min="8" max="8" width="12.6640625" style="2" customWidth="1"/>
    <col min="9" max="16384" width="9.109375" style="2"/>
  </cols>
  <sheetData>
    <row r="1" spans="1:6" hidden="1"/>
    <row r="2" spans="1:6" ht="13.2">
      <c r="A2" s="23" t="s">
        <v>180</v>
      </c>
    </row>
    <row r="3" spans="1:6" ht="13.2">
      <c r="A3" s="6"/>
      <c r="C3" s="25"/>
      <c r="D3" s="78"/>
      <c r="E3" s="79" t="s">
        <v>220</v>
      </c>
    </row>
    <row r="4" spans="1:6" ht="33" customHeight="1">
      <c r="A4" s="6"/>
      <c r="C4" s="80" t="s">
        <v>219</v>
      </c>
      <c r="D4" s="80"/>
      <c r="E4" s="80"/>
    </row>
    <row r="5" spans="1:6" ht="13.2">
      <c r="A5" s="6"/>
      <c r="C5" s="25"/>
      <c r="D5" s="25"/>
      <c r="E5" s="25"/>
    </row>
    <row r="6" spans="1:6">
      <c r="A6" s="6"/>
      <c r="B6" s="84" t="s">
        <v>86</v>
      </c>
      <c r="C6" s="84"/>
      <c r="D6" s="84"/>
      <c r="E6" s="24"/>
    </row>
    <row r="7" spans="1:6" ht="18" customHeight="1">
      <c r="A7" s="84" t="s">
        <v>221</v>
      </c>
      <c r="B7" s="84"/>
      <c r="C7" s="84"/>
      <c r="D7" s="84"/>
      <c r="E7" s="84"/>
    </row>
    <row r="8" spans="1:6" ht="16.5" customHeight="1">
      <c r="A8" s="2"/>
      <c r="B8" s="43"/>
      <c r="C8" s="18"/>
      <c r="D8" s="18"/>
      <c r="E8" s="7" t="s">
        <v>181</v>
      </c>
    </row>
    <row r="9" spans="1:6" ht="15.75" customHeight="1">
      <c r="A9" s="81" t="s">
        <v>0</v>
      </c>
      <c r="B9" s="81" t="s">
        <v>1</v>
      </c>
      <c r="C9" s="82">
        <v>2024</v>
      </c>
      <c r="D9" s="82">
        <v>2025</v>
      </c>
      <c r="E9" s="82">
        <v>2026</v>
      </c>
    </row>
    <row r="10" spans="1:6" ht="15.75" customHeight="1">
      <c r="A10" s="81"/>
      <c r="B10" s="81"/>
      <c r="C10" s="83"/>
      <c r="D10" s="82"/>
      <c r="E10" s="82"/>
    </row>
    <row r="11" spans="1:6" ht="12.75" customHeight="1">
      <c r="A11" s="9">
        <v>1</v>
      </c>
      <c r="B11" s="33">
        <v>2</v>
      </c>
      <c r="C11" s="8">
        <v>3</v>
      </c>
      <c r="D11" s="8">
        <v>4</v>
      </c>
      <c r="E11" s="8">
        <v>5</v>
      </c>
    </row>
    <row r="12" spans="1:6" ht="21" customHeight="1">
      <c r="A12" s="44" t="s">
        <v>24</v>
      </c>
      <c r="B12" s="58" t="s">
        <v>23</v>
      </c>
      <c r="C12" s="32">
        <f>C13+C28+C34+C39+C43+C44+C54+C59+C48+C62+C83+C22</f>
        <v>661544.41</v>
      </c>
      <c r="D12" s="32">
        <f>D13+D28+D34+D39+D43+D44+D54+D59+D48+D62+D83+D22</f>
        <v>665800</v>
      </c>
      <c r="E12" s="32">
        <f>E13+E28+E34+E39+E43+E44+E54+E59+E48+E62+E83+E22</f>
        <v>664739</v>
      </c>
      <c r="F12" s="16">
        <f>F22+F14+F54+F62+F59+F28+F48+F44</f>
        <v>0</v>
      </c>
    </row>
    <row r="13" spans="1:6" ht="13.2">
      <c r="A13" s="41" t="s">
        <v>2</v>
      </c>
      <c r="B13" s="38" t="s">
        <v>183</v>
      </c>
      <c r="C13" s="36">
        <f>C14</f>
        <v>559010</v>
      </c>
      <c r="D13" s="36">
        <f>D14</f>
        <v>559010</v>
      </c>
      <c r="E13" s="36">
        <f>E14</f>
        <v>559010</v>
      </c>
    </row>
    <row r="14" spans="1:6" ht="13.2">
      <c r="A14" s="9" t="s">
        <v>3</v>
      </c>
      <c r="B14" s="45" t="s">
        <v>4</v>
      </c>
      <c r="C14" s="46">
        <f>SUM(C16:C21)</f>
        <v>559010</v>
      </c>
      <c r="D14" s="46">
        <f>SUM(D16:D21)</f>
        <v>559010</v>
      </c>
      <c r="E14" s="46">
        <f>SUM(E16:E21)</f>
        <v>559010</v>
      </c>
      <c r="F14" s="14">
        <f>F16+F17+F18+F19+F20+F21</f>
        <v>0</v>
      </c>
    </row>
    <row r="15" spans="1:6" ht="13.2">
      <c r="A15" s="9"/>
      <c r="B15" s="45" t="s">
        <v>5</v>
      </c>
      <c r="C15" s="46"/>
      <c r="D15" s="12"/>
      <c r="E15" s="12"/>
      <c r="F15" s="14"/>
    </row>
    <row r="16" spans="1:6" ht="65.25" customHeight="1">
      <c r="A16" s="9" t="s">
        <v>7</v>
      </c>
      <c r="B16" s="59" t="s">
        <v>118</v>
      </c>
      <c r="C16" s="26">
        <f>(552960000/1000)</f>
        <v>552960</v>
      </c>
      <c r="D16" s="26">
        <f t="shared" ref="D16:E16" si="0">(552960000/1000)</f>
        <v>552960</v>
      </c>
      <c r="E16" s="26">
        <f t="shared" si="0"/>
        <v>552960</v>
      </c>
      <c r="F16" s="14"/>
    </row>
    <row r="17" spans="1:6" ht="75" customHeight="1">
      <c r="A17" s="9" t="s">
        <v>25</v>
      </c>
      <c r="B17" s="59" t="s">
        <v>119</v>
      </c>
      <c r="C17" s="26">
        <f>(1600000/1000)</f>
        <v>1600</v>
      </c>
      <c r="D17" s="26">
        <f t="shared" ref="D17:E17" si="1">(1600000/1000)</f>
        <v>1600</v>
      </c>
      <c r="E17" s="26">
        <f t="shared" si="1"/>
        <v>1600</v>
      </c>
      <c r="F17" s="16"/>
    </row>
    <row r="18" spans="1:6" ht="29.4" customHeight="1">
      <c r="A18" s="9" t="s">
        <v>8</v>
      </c>
      <c r="B18" s="45" t="s">
        <v>120</v>
      </c>
      <c r="C18" s="26">
        <f>(4250000/1000)</f>
        <v>4250</v>
      </c>
      <c r="D18" s="26">
        <f t="shared" ref="D18:E18" si="2">(4250000/1000)</f>
        <v>4250</v>
      </c>
      <c r="E18" s="26">
        <f t="shared" si="2"/>
        <v>4250</v>
      </c>
      <c r="F18" s="16"/>
    </row>
    <row r="19" spans="1:6" s="3" customFormat="1" ht="66" customHeight="1">
      <c r="A19" s="33" t="s">
        <v>6</v>
      </c>
      <c r="B19" s="45" t="s">
        <v>121</v>
      </c>
      <c r="C19" s="26">
        <f>(200000/1000)</f>
        <v>200</v>
      </c>
      <c r="D19" s="26">
        <f t="shared" ref="D19:E19" si="3">(200000/1000)</f>
        <v>200</v>
      </c>
      <c r="E19" s="26">
        <f t="shared" si="3"/>
        <v>200</v>
      </c>
      <c r="F19" s="19"/>
    </row>
    <row r="20" spans="1:6" s="3" customFormat="1" ht="82.5" hidden="1" customHeight="1">
      <c r="A20" s="33" t="s">
        <v>125</v>
      </c>
      <c r="B20" s="45" t="s">
        <v>122</v>
      </c>
      <c r="C20" s="26"/>
      <c r="D20" s="27"/>
      <c r="E20" s="27"/>
      <c r="F20" s="20"/>
    </row>
    <row r="21" spans="1:6" s="3" customFormat="1" ht="42.75" hidden="1" customHeight="1">
      <c r="A21" s="33" t="s">
        <v>124</v>
      </c>
      <c r="B21" s="45" t="s">
        <v>123</v>
      </c>
      <c r="C21" s="27"/>
      <c r="D21" s="27"/>
      <c r="E21" s="27"/>
      <c r="F21" s="20"/>
    </row>
    <row r="22" spans="1:6" s="3" customFormat="1" ht="32.25" customHeight="1">
      <c r="A22" s="47" t="s">
        <v>39</v>
      </c>
      <c r="B22" s="38" t="s">
        <v>184</v>
      </c>
      <c r="C22" s="36">
        <f>C23</f>
        <v>31251</v>
      </c>
      <c r="D22" s="36">
        <f>D23</f>
        <v>33470</v>
      </c>
      <c r="E22" s="36">
        <f>E23</f>
        <v>34839</v>
      </c>
      <c r="F22" s="20">
        <f>F23</f>
        <v>0</v>
      </c>
    </row>
    <row r="23" spans="1:6" s="3" customFormat="1" ht="27.6" customHeight="1">
      <c r="A23" s="48" t="s">
        <v>40</v>
      </c>
      <c r="B23" s="60" t="s">
        <v>41</v>
      </c>
      <c r="C23" s="39">
        <f>SUM(C24:C27)</f>
        <v>31251</v>
      </c>
      <c r="D23" s="39">
        <f>SUM(D24:D27)</f>
        <v>33470</v>
      </c>
      <c r="E23" s="39">
        <f>SUM(E24:E27)</f>
        <v>34839</v>
      </c>
      <c r="F23" s="17">
        <f>F24+F25+F26+F27</f>
        <v>0</v>
      </c>
    </row>
    <row r="24" spans="1:6" s="3" customFormat="1" ht="52.2" customHeight="1">
      <c r="A24" s="33" t="s">
        <v>42</v>
      </c>
      <c r="B24" s="61" t="s">
        <v>45</v>
      </c>
      <c r="C24" s="26">
        <f>(16298000/1000)</f>
        <v>16298</v>
      </c>
      <c r="D24" s="26">
        <f>(17413000/1000)</f>
        <v>17413</v>
      </c>
      <c r="E24" s="26">
        <f>(18148000/1000)</f>
        <v>18148</v>
      </c>
      <c r="F24" s="17"/>
    </row>
    <row r="25" spans="1:6" s="3" customFormat="1" ht="50.4" customHeight="1">
      <c r="A25" s="33" t="s">
        <v>43</v>
      </c>
      <c r="B25" s="62" t="s">
        <v>46</v>
      </c>
      <c r="C25" s="26">
        <f>(78000/1000)</f>
        <v>78</v>
      </c>
      <c r="D25" s="26">
        <f>(91000/1000)</f>
        <v>91</v>
      </c>
      <c r="E25" s="26">
        <f>(96000/1000)</f>
        <v>96</v>
      </c>
      <c r="F25" s="17"/>
    </row>
    <row r="26" spans="1:6" s="3" customFormat="1" ht="51.6" customHeight="1">
      <c r="A26" s="33" t="s">
        <v>44</v>
      </c>
      <c r="B26" s="61" t="s">
        <v>47</v>
      </c>
      <c r="C26" s="26">
        <f>(16900000/1000)</f>
        <v>16900</v>
      </c>
      <c r="D26" s="26">
        <f>(18130000/1000)</f>
        <v>18130</v>
      </c>
      <c r="E26" s="26">
        <f>(18901000/1000)</f>
        <v>18901</v>
      </c>
      <c r="F26" s="17"/>
    </row>
    <row r="27" spans="1:6" s="3" customFormat="1" ht="51.6" customHeight="1">
      <c r="A27" s="33" t="s">
        <v>49</v>
      </c>
      <c r="B27" s="61" t="s">
        <v>48</v>
      </c>
      <c r="C27" s="26">
        <f>(-2025000/1000)</f>
        <v>-2025</v>
      </c>
      <c r="D27" s="26">
        <f>(-2164000/1000)</f>
        <v>-2164</v>
      </c>
      <c r="E27" s="26">
        <f>(-2306000/1000)</f>
        <v>-2306</v>
      </c>
      <c r="F27" s="17"/>
    </row>
    <row r="28" spans="1:6" ht="14.25" customHeight="1">
      <c r="A28" s="41" t="s">
        <v>9</v>
      </c>
      <c r="B28" s="38" t="s">
        <v>185</v>
      </c>
      <c r="C28" s="36">
        <f>SUM(C29:C33)</f>
        <v>11024</v>
      </c>
      <c r="D28" s="36">
        <f>SUM(D29:D33)</f>
        <v>11024</v>
      </c>
      <c r="E28" s="36">
        <f>SUM(E29:E33)</f>
        <v>11024</v>
      </c>
      <c r="F28" s="14">
        <f>F29+F30+F32+F33</f>
        <v>0</v>
      </c>
    </row>
    <row r="29" spans="1:6" ht="28.5" customHeight="1">
      <c r="A29" s="9" t="s">
        <v>59</v>
      </c>
      <c r="B29" s="63" t="s">
        <v>126</v>
      </c>
      <c r="C29" s="26">
        <f>(840000/1000)</f>
        <v>840</v>
      </c>
      <c r="D29" s="26">
        <f t="shared" ref="D29:E29" si="4">(840000/1000)</f>
        <v>840</v>
      </c>
      <c r="E29" s="26">
        <f t="shared" si="4"/>
        <v>840</v>
      </c>
      <c r="F29" s="16"/>
    </row>
    <row r="30" spans="1:6" ht="36.75" customHeight="1">
      <c r="A30" s="9" t="s">
        <v>60</v>
      </c>
      <c r="B30" s="63" t="s">
        <v>127</v>
      </c>
      <c r="C30" s="26">
        <f>(240000/1000)</f>
        <v>240</v>
      </c>
      <c r="D30" s="26">
        <f t="shared" ref="D30:E30" si="5">(240000/1000)</f>
        <v>240</v>
      </c>
      <c r="E30" s="26">
        <f t="shared" si="5"/>
        <v>240</v>
      </c>
      <c r="F30" s="16"/>
    </row>
    <row r="31" spans="1:6" ht="21.75" customHeight="1">
      <c r="A31" s="9" t="s">
        <v>10</v>
      </c>
      <c r="B31" s="45" t="s">
        <v>21</v>
      </c>
      <c r="C31" s="26">
        <v>0</v>
      </c>
      <c r="D31" s="26">
        <v>0</v>
      </c>
      <c r="E31" s="26">
        <v>0</v>
      </c>
    </row>
    <row r="32" spans="1:6" ht="18.75" customHeight="1">
      <c r="A32" s="9" t="s">
        <v>11</v>
      </c>
      <c r="B32" s="45" t="s">
        <v>22</v>
      </c>
      <c r="C32" s="26">
        <f>(544000/1000)</f>
        <v>544</v>
      </c>
      <c r="D32" s="26">
        <f t="shared" ref="D32:E32" si="6">(544000/1000)</f>
        <v>544</v>
      </c>
      <c r="E32" s="26">
        <f t="shared" si="6"/>
        <v>544</v>
      </c>
      <c r="F32" s="15"/>
    </row>
    <row r="33" spans="1:6" ht="28.5" customHeight="1">
      <c r="A33" s="9" t="s">
        <v>129</v>
      </c>
      <c r="B33" s="59" t="s">
        <v>128</v>
      </c>
      <c r="C33" s="26">
        <f>(9400000/1000)</f>
        <v>9400</v>
      </c>
      <c r="D33" s="26">
        <f t="shared" ref="D33:E33" si="7">(9400000/1000)</f>
        <v>9400</v>
      </c>
      <c r="E33" s="26">
        <f t="shared" si="7"/>
        <v>9400</v>
      </c>
    </row>
    <row r="34" spans="1:6" ht="17.25" customHeight="1">
      <c r="A34" s="41" t="s">
        <v>12</v>
      </c>
      <c r="B34" s="38" t="s">
        <v>186</v>
      </c>
      <c r="C34" s="36">
        <f>C35+C36</f>
        <v>14828</v>
      </c>
      <c r="D34" s="36">
        <f>D35+D36</f>
        <v>14828</v>
      </c>
      <c r="E34" s="36">
        <f>E35+E36</f>
        <v>14828</v>
      </c>
    </row>
    <row r="35" spans="1:6" ht="28.5" customHeight="1">
      <c r="A35" s="9" t="s">
        <v>130</v>
      </c>
      <c r="B35" s="45" t="s">
        <v>131</v>
      </c>
      <c r="C35" s="26">
        <f>(5120000/1000)</f>
        <v>5120</v>
      </c>
      <c r="D35" s="26">
        <f t="shared" ref="D35:E35" si="8">(5120000/1000)</f>
        <v>5120</v>
      </c>
      <c r="E35" s="26">
        <f t="shared" si="8"/>
        <v>5120</v>
      </c>
    </row>
    <row r="36" spans="1:6" ht="21.75" customHeight="1">
      <c r="A36" s="40" t="s">
        <v>132</v>
      </c>
      <c r="B36" s="64" t="s">
        <v>133</v>
      </c>
      <c r="C36" s="28">
        <f>SUM(C37:C38)</f>
        <v>9708</v>
      </c>
      <c r="D36" s="28">
        <f>SUM(D37:D38)</f>
        <v>9708</v>
      </c>
      <c r="E36" s="28">
        <f>SUM(E37:E38)</f>
        <v>9708</v>
      </c>
    </row>
    <row r="37" spans="1:6" ht="24.75" customHeight="1">
      <c r="A37" s="9" t="s">
        <v>134</v>
      </c>
      <c r="B37" s="45" t="s">
        <v>135</v>
      </c>
      <c r="C37" s="26">
        <f>(4199000/1000)</f>
        <v>4199</v>
      </c>
      <c r="D37" s="26">
        <f t="shared" ref="D37:E37" si="9">(4199000/1000)</f>
        <v>4199</v>
      </c>
      <c r="E37" s="26">
        <f t="shared" si="9"/>
        <v>4199</v>
      </c>
    </row>
    <row r="38" spans="1:6" ht="24" customHeight="1">
      <c r="A38" s="9" t="s">
        <v>136</v>
      </c>
      <c r="B38" s="45" t="s">
        <v>137</v>
      </c>
      <c r="C38" s="26">
        <f>(5509000/1000)</f>
        <v>5509</v>
      </c>
      <c r="D38" s="26">
        <f t="shared" ref="D38:E38" si="10">(5509000/1000)</f>
        <v>5509</v>
      </c>
      <c r="E38" s="26">
        <f t="shared" si="10"/>
        <v>5509</v>
      </c>
    </row>
    <row r="39" spans="1:6" ht="18" customHeight="1">
      <c r="A39" s="41" t="s">
        <v>13</v>
      </c>
      <c r="B39" s="38" t="s">
        <v>187</v>
      </c>
      <c r="C39" s="36">
        <f>SUM(C40:C42)</f>
        <v>3825</v>
      </c>
      <c r="D39" s="36">
        <f>SUM(D40:D42)</f>
        <v>3825</v>
      </c>
      <c r="E39" s="36">
        <f>SUM(E40:E42)</f>
        <v>3825</v>
      </c>
    </row>
    <row r="40" spans="1:6" ht="39" customHeight="1">
      <c r="A40" s="9" t="s">
        <v>14</v>
      </c>
      <c r="B40" s="65" t="s">
        <v>79</v>
      </c>
      <c r="C40" s="26">
        <f>(3800000/1000)</f>
        <v>3800</v>
      </c>
      <c r="D40" s="26">
        <f t="shared" ref="D40:E40" si="11">(3800000/1000)</f>
        <v>3800</v>
      </c>
      <c r="E40" s="26">
        <f t="shared" si="11"/>
        <v>3800</v>
      </c>
    </row>
    <row r="41" spans="1:6" ht="30" customHeight="1">
      <c r="A41" s="9" t="s">
        <v>36</v>
      </c>
      <c r="B41" s="45" t="s">
        <v>37</v>
      </c>
      <c r="C41" s="26">
        <f>(15000/1000)</f>
        <v>15</v>
      </c>
      <c r="D41" s="26">
        <f t="shared" ref="D41:E41" si="12">(15000/1000)</f>
        <v>15</v>
      </c>
      <c r="E41" s="26">
        <f t="shared" si="12"/>
        <v>15</v>
      </c>
    </row>
    <row r="42" spans="1:6" ht="52.5" customHeight="1">
      <c r="A42" s="9" t="s">
        <v>148</v>
      </c>
      <c r="B42" s="45" t="s">
        <v>149</v>
      </c>
      <c r="C42" s="26">
        <f>(10000/1000)</f>
        <v>10</v>
      </c>
      <c r="D42" s="26">
        <f t="shared" ref="D42:E42" si="13">(10000/1000)</f>
        <v>10</v>
      </c>
      <c r="E42" s="26">
        <f t="shared" si="13"/>
        <v>10</v>
      </c>
    </row>
    <row r="43" spans="1:6" ht="30.6" customHeight="1">
      <c r="A43" s="41" t="s">
        <v>15</v>
      </c>
      <c r="B43" s="38" t="s">
        <v>182</v>
      </c>
      <c r="C43" s="36">
        <v>0</v>
      </c>
      <c r="D43" s="36">
        <v>0</v>
      </c>
      <c r="E43" s="36">
        <v>0</v>
      </c>
    </row>
    <row r="44" spans="1:6" ht="27.75" customHeight="1">
      <c r="A44" s="41" t="s">
        <v>16</v>
      </c>
      <c r="B44" s="38" t="s">
        <v>188</v>
      </c>
      <c r="C44" s="36">
        <f>SUM(C45:C47)</f>
        <v>18529</v>
      </c>
      <c r="D44" s="36">
        <f>SUM(D45:D47)</f>
        <v>15751</v>
      </c>
      <c r="E44" s="36">
        <f>SUM(E45:E47)</f>
        <v>19307</v>
      </c>
    </row>
    <row r="45" spans="1:6" ht="53.25" customHeight="1">
      <c r="A45" s="49" t="s">
        <v>138</v>
      </c>
      <c r="B45" s="66" t="s">
        <v>179</v>
      </c>
      <c r="C45" s="26">
        <f>(11500000/1000)</f>
        <v>11500</v>
      </c>
      <c r="D45" s="29">
        <f>(11800000/1000)</f>
        <v>11800</v>
      </c>
      <c r="E45" s="29">
        <f>(11800000/1000)</f>
        <v>11800</v>
      </c>
    </row>
    <row r="46" spans="1:6" ht="27.75" customHeight="1">
      <c r="A46" s="9" t="s">
        <v>139</v>
      </c>
      <c r="B46" s="45" t="s">
        <v>140</v>
      </c>
      <c r="C46" s="26">
        <f>(4429000/1000)</f>
        <v>4429</v>
      </c>
      <c r="D46" s="29">
        <f>(1301000/1000)</f>
        <v>1301</v>
      </c>
      <c r="E46" s="29">
        <f>(4807000/1000)</f>
        <v>4807</v>
      </c>
    </row>
    <row r="47" spans="1:6" ht="48" customHeight="1">
      <c r="A47" s="33" t="s">
        <v>141</v>
      </c>
      <c r="B47" s="45" t="s">
        <v>142</v>
      </c>
      <c r="C47" s="26">
        <f>(2600000/1000)</f>
        <v>2600</v>
      </c>
      <c r="D47" s="29">
        <f>(2650000/1000)</f>
        <v>2650</v>
      </c>
      <c r="E47" s="29">
        <f>(2700000/1000)</f>
        <v>2700</v>
      </c>
    </row>
    <row r="48" spans="1:6" ht="22.95" customHeight="1">
      <c r="A48" s="41" t="s">
        <v>18</v>
      </c>
      <c r="B48" s="38" t="s">
        <v>189</v>
      </c>
      <c r="C48" s="36">
        <f>C49+C53</f>
        <v>458</v>
      </c>
      <c r="D48" s="36">
        <f>D49+D53</f>
        <v>458</v>
      </c>
      <c r="E48" s="36">
        <f>E49+E53</f>
        <v>458</v>
      </c>
      <c r="F48" s="2">
        <f>F49+F50+F51+F52+F53</f>
        <v>0</v>
      </c>
    </row>
    <row r="49" spans="1:34" ht="16.5" customHeight="1">
      <c r="A49" s="40" t="s">
        <v>19</v>
      </c>
      <c r="B49" s="64" t="s">
        <v>38</v>
      </c>
      <c r="C49" s="28">
        <f>SUM(C50:C52)</f>
        <v>450</v>
      </c>
      <c r="D49" s="28">
        <f>SUM(D50:D52)</f>
        <v>450</v>
      </c>
      <c r="E49" s="28">
        <f>SUM(E50:E52)</f>
        <v>450</v>
      </c>
    </row>
    <row r="50" spans="1:34" ht="25.95" customHeight="1">
      <c r="A50" s="9" t="s">
        <v>34</v>
      </c>
      <c r="B50" s="45" t="s">
        <v>35</v>
      </c>
      <c r="C50" s="26">
        <f>(150000/1000)</f>
        <v>150</v>
      </c>
      <c r="D50" s="26">
        <f t="shared" ref="D50:E50" si="14">(150000/1000)</f>
        <v>150</v>
      </c>
      <c r="E50" s="26">
        <f t="shared" si="14"/>
        <v>150</v>
      </c>
    </row>
    <row r="51" spans="1:34" ht="20.25" customHeight="1">
      <c r="A51" s="9" t="s">
        <v>31</v>
      </c>
      <c r="B51" s="45" t="s">
        <v>143</v>
      </c>
      <c r="C51" s="26">
        <f>(250000/1000)</f>
        <v>250</v>
      </c>
      <c r="D51" s="26">
        <f t="shared" ref="D51:E51" si="15">(250000/1000)</f>
        <v>250</v>
      </c>
      <c r="E51" s="26">
        <f t="shared" si="15"/>
        <v>250</v>
      </c>
    </row>
    <row r="52" spans="1:34" ht="20.25" customHeight="1">
      <c r="A52" s="9" t="s">
        <v>32</v>
      </c>
      <c r="B52" s="45" t="s">
        <v>33</v>
      </c>
      <c r="C52" s="26">
        <f>(50000/1000)</f>
        <v>50</v>
      </c>
      <c r="D52" s="26">
        <f t="shared" ref="D52:E52" si="16">(50000/1000)</f>
        <v>50</v>
      </c>
      <c r="E52" s="26">
        <f t="shared" si="16"/>
        <v>50</v>
      </c>
    </row>
    <row r="53" spans="1:34" ht="26.4">
      <c r="A53" s="40" t="s">
        <v>144</v>
      </c>
      <c r="B53" s="67" t="s">
        <v>145</v>
      </c>
      <c r="C53" s="28">
        <f>(8000/1000)</f>
        <v>8</v>
      </c>
      <c r="D53" s="28">
        <f t="shared" ref="D53:E53" si="17">(8000/1000)</f>
        <v>8</v>
      </c>
      <c r="E53" s="28">
        <f t="shared" si="17"/>
        <v>8</v>
      </c>
    </row>
    <row r="54" spans="1:34" ht="26.25" customHeight="1">
      <c r="A54" s="41" t="s">
        <v>26</v>
      </c>
      <c r="B54" s="38" t="s">
        <v>190</v>
      </c>
      <c r="C54" s="36">
        <f>C55+C57</f>
        <v>18860</v>
      </c>
      <c r="D54" s="36">
        <f>D55+D57</f>
        <v>19115</v>
      </c>
      <c r="E54" s="36">
        <f>E55+E57</f>
        <v>19115</v>
      </c>
      <c r="F54" s="2">
        <f>F56+F58</f>
        <v>0</v>
      </c>
    </row>
    <row r="55" spans="1:34" ht="19.5" customHeight="1">
      <c r="A55" s="40" t="s">
        <v>27</v>
      </c>
      <c r="B55" s="64" t="s">
        <v>28</v>
      </c>
      <c r="C55" s="28">
        <f>C56</f>
        <v>18610</v>
      </c>
      <c r="D55" s="28">
        <f>D56</f>
        <v>18865</v>
      </c>
      <c r="E55" s="28">
        <f>E56</f>
        <v>18865</v>
      </c>
    </row>
    <row r="56" spans="1:34" ht="26.25" customHeight="1">
      <c r="A56" s="33" t="s">
        <v>146</v>
      </c>
      <c r="B56" s="45" t="s">
        <v>147</v>
      </c>
      <c r="C56" s="26">
        <f>(18610000/1000)</f>
        <v>18610</v>
      </c>
      <c r="D56" s="26">
        <f>(18865000/1000)</f>
        <v>18865</v>
      </c>
      <c r="E56" s="26">
        <f>(18865000/1000)</f>
        <v>18865</v>
      </c>
    </row>
    <row r="57" spans="1:34" ht="14.25" customHeight="1">
      <c r="A57" s="40" t="s">
        <v>29</v>
      </c>
      <c r="B57" s="64" t="s">
        <v>30</v>
      </c>
      <c r="C57" s="28">
        <f>C58</f>
        <v>250</v>
      </c>
      <c r="D57" s="28">
        <f>D58</f>
        <v>250</v>
      </c>
      <c r="E57" s="28">
        <f>E58</f>
        <v>250</v>
      </c>
    </row>
    <row r="58" spans="1:34" ht="19.5" customHeight="1">
      <c r="A58" s="9" t="s">
        <v>150</v>
      </c>
      <c r="B58" s="45" t="s">
        <v>151</v>
      </c>
      <c r="C58" s="26">
        <f>(250000/1000)</f>
        <v>250</v>
      </c>
      <c r="D58" s="26">
        <f t="shared" ref="D58:E58" si="18">(250000/1000)</f>
        <v>250</v>
      </c>
      <c r="E58" s="26">
        <f t="shared" si="18"/>
        <v>250</v>
      </c>
    </row>
    <row r="59" spans="1:34" ht="24" customHeight="1">
      <c r="A59" s="41" t="s">
        <v>17</v>
      </c>
      <c r="B59" s="38" t="s">
        <v>191</v>
      </c>
      <c r="C59" s="36">
        <f>SUM(C60:C61)</f>
        <v>2781.41</v>
      </c>
      <c r="D59" s="36">
        <f>SUM(D60:D61)</f>
        <v>7336</v>
      </c>
      <c r="E59" s="36">
        <f>SUM(E60:E61)</f>
        <v>1350</v>
      </c>
    </row>
    <row r="60" spans="1:34" ht="69" customHeight="1">
      <c r="A60" s="9" t="s">
        <v>152</v>
      </c>
      <c r="B60" s="45" t="s">
        <v>153</v>
      </c>
      <c r="C60" s="26">
        <f>(681410/1000)</f>
        <v>681.41</v>
      </c>
      <c r="D60" s="26">
        <f>(236000/1000)</f>
        <v>236</v>
      </c>
      <c r="E60" s="26">
        <f>(350000/1000)</f>
        <v>350</v>
      </c>
    </row>
    <row r="61" spans="1:34" ht="36.75" customHeight="1">
      <c r="A61" s="11" t="s">
        <v>154</v>
      </c>
      <c r="B61" s="66" t="s">
        <v>155</v>
      </c>
      <c r="C61" s="29">
        <f>(2100000/1000)</f>
        <v>2100</v>
      </c>
      <c r="D61" s="29">
        <f>(7100000/1000)</f>
        <v>7100</v>
      </c>
      <c r="E61" s="29">
        <f>(1000000/1000)</f>
        <v>1000</v>
      </c>
    </row>
    <row r="62" spans="1:34" s="4" customFormat="1" ht="16.5" customHeight="1">
      <c r="A62" s="41" t="s">
        <v>20</v>
      </c>
      <c r="B62" s="38" t="s">
        <v>192</v>
      </c>
      <c r="C62" s="36">
        <f>SUM(C63:C82)</f>
        <v>978</v>
      </c>
      <c r="D62" s="36">
        <f>SUM(D63:D82)</f>
        <v>983</v>
      </c>
      <c r="E62" s="36">
        <f>SUM(E63:E82)</f>
        <v>983</v>
      </c>
      <c r="F62" s="15">
        <f>SUM(F63:F82)</f>
        <v>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s="4" customFormat="1" ht="46.5" hidden="1" customHeight="1">
      <c r="A63" s="13" t="s">
        <v>78</v>
      </c>
      <c r="B63" s="57" t="s">
        <v>61</v>
      </c>
      <c r="C63" s="27"/>
      <c r="D63" s="27"/>
      <c r="E63" s="27"/>
      <c r="F63" s="1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s="4" customFormat="1" ht="51.75" hidden="1" customHeight="1">
      <c r="A64" s="13" t="s">
        <v>50</v>
      </c>
      <c r="B64" s="57" t="s">
        <v>156</v>
      </c>
      <c r="C64" s="27"/>
      <c r="D64" s="27"/>
      <c r="E64" s="27"/>
      <c r="F64" s="1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s="4" customFormat="1" ht="55.5" customHeight="1">
      <c r="A65" s="13" t="s">
        <v>51</v>
      </c>
      <c r="B65" s="77" t="s">
        <v>157</v>
      </c>
      <c r="C65" s="26">
        <f>(8000/1000)</f>
        <v>8</v>
      </c>
      <c r="D65" s="26">
        <f t="shared" ref="D65:E65" si="19">(8000/1000)</f>
        <v>8</v>
      </c>
      <c r="E65" s="26">
        <f t="shared" si="19"/>
        <v>8</v>
      </c>
      <c r="F65" s="1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s="4" customFormat="1" ht="69.75" customHeight="1">
      <c r="A66" s="50" t="s">
        <v>52</v>
      </c>
      <c r="B66" s="77" t="s">
        <v>158</v>
      </c>
      <c r="C66" s="26">
        <f>(276000/1000)</f>
        <v>276</v>
      </c>
      <c r="D66" s="26">
        <f t="shared" ref="D66:E66" si="20">(276000/1000)</f>
        <v>276</v>
      </c>
      <c r="E66" s="26">
        <f t="shared" si="20"/>
        <v>276</v>
      </c>
      <c r="F66" s="1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s="4" customFormat="1" ht="54" customHeight="1">
      <c r="A67" s="13" t="s">
        <v>53</v>
      </c>
      <c r="B67" s="77" t="s">
        <v>159</v>
      </c>
      <c r="C67" s="26">
        <f>(30500/1000)</f>
        <v>30.5</v>
      </c>
      <c r="D67" s="26">
        <f t="shared" ref="D67:E67" si="21">(30500/1000)</f>
        <v>30.5</v>
      </c>
      <c r="E67" s="26">
        <f t="shared" si="21"/>
        <v>30.5</v>
      </c>
      <c r="F67" s="1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s="4" customFormat="1" ht="67.2" customHeight="1">
      <c r="A68" s="13" t="s">
        <v>54</v>
      </c>
      <c r="B68" s="77" t="s">
        <v>160</v>
      </c>
      <c r="C68" s="26">
        <f>(16100/1000)</f>
        <v>16.100000000000001</v>
      </c>
      <c r="D68" s="26">
        <f t="shared" ref="D68:E68" si="22">(16100/1000)</f>
        <v>16.100000000000001</v>
      </c>
      <c r="E68" s="26">
        <f t="shared" si="22"/>
        <v>16.100000000000001</v>
      </c>
      <c r="F68" s="1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4" customFormat="1" ht="54.75" hidden="1" customHeight="1">
      <c r="A69" s="13" t="s">
        <v>80</v>
      </c>
      <c r="B69" s="77" t="s">
        <v>81</v>
      </c>
      <c r="C69" s="26"/>
      <c r="D69" s="26"/>
      <c r="E69" s="26"/>
      <c r="F69" s="1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4" customFormat="1" ht="67.2" customHeight="1">
      <c r="A70" s="13" t="s">
        <v>82</v>
      </c>
      <c r="B70" s="77" t="s">
        <v>83</v>
      </c>
      <c r="C70" s="26">
        <f>(3000/1000)</f>
        <v>3</v>
      </c>
      <c r="D70" s="26">
        <f t="shared" ref="D70:E70" si="23">(3000/1000)</f>
        <v>3</v>
      </c>
      <c r="E70" s="26">
        <f t="shared" si="23"/>
        <v>3</v>
      </c>
      <c r="F70" s="1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s="4" customFormat="1" ht="52.5" customHeight="1">
      <c r="A71" s="13" t="s">
        <v>171</v>
      </c>
      <c r="B71" s="57" t="s">
        <v>172</v>
      </c>
      <c r="C71" s="26">
        <f>(5000/1000)</f>
        <v>5</v>
      </c>
      <c r="D71" s="26">
        <f t="shared" ref="D71:E71" si="24">(5000/1000)</f>
        <v>5</v>
      </c>
      <c r="E71" s="26">
        <f t="shared" si="24"/>
        <v>5</v>
      </c>
      <c r="F71" s="1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s="4" customFormat="1" ht="54" customHeight="1">
      <c r="A72" s="13" t="s">
        <v>174</v>
      </c>
      <c r="B72" s="77" t="s">
        <v>173</v>
      </c>
      <c r="C72" s="26">
        <f>(500/1000)</f>
        <v>0.5</v>
      </c>
      <c r="D72" s="26">
        <f t="shared" ref="D72:E72" si="25">(500/1000)</f>
        <v>0.5</v>
      </c>
      <c r="E72" s="26">
        <f t="shared" si="25"/>
        <v>0.5</v>
      </c>
      <c r="F72" s="1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s="4" customFormat="1" ht="69.599999999999994" customHeight="1">
      <c r="A73" s="13" t="s">
        <v>55</v>
      </c>
      <c r="B73" s="77" t="s">
        <v>161</v>
      </c>
      <c r="C73" s="26">
        <f>(6700/1000)</f>
        <v>6.7</v>
      </c>
      <c r="D73" s="26">
        <f t="shared" ref="D73:E73" si="26">(6700/1000)</f>
        <v>6.7</v>
      </c>
      <c r="E73" s="26">
        <f t="shared" si="26"/>
        <v>6.7</v>
      </c>
      <c r="F73" s="1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s="4" customFormat="1" ht="80.25" customHeight="1">
      <c r="A74" s="13" t="s">
        <v>56</v>
      </c>
      <c r="B74" s="77" t="s">
        <v>162</v>
      </c>
      <c r="C74" s="26">
        <f>(700/1000)</f>
        <v>0.7</v>
      </c>
      <c r="D74" s="26">
        <f t="shared" ref="D74:E74" si="27">(700/1000)</f>
        <v>0.7</v>
      </c>
      <c r="E74" s="26">
        <f t="shared" si="27"/>
        <v>0.7</v>
      </c>
      <c r="F74" s="1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s="4" customFormat="1" ht="60.75" customHeight="1">
      <c r="A75" s="13" t="s">
        <v>84</v>
      </c>
      <c r="B75" s="77" t="s">
        <v>85</v>
      </c>
      <c r="C75" s="26">
        <f>(2000/1000)</f>
        <v>2</v>
      </c>
      <c r="D75" s="26">
        <f t="shared" ref="D75:E75" si="28">(2000/1000)</f>
        <v>2</v>
      </c>
      <c r="E75" s="26">
        <f t="shared" si="28"/>
        <v>2</v>
      </c>
      <c r="F75" s="1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s="4" customFormat="1" ht="54" customHeight="1">
      <c r="A76" s="13" t="s">
        <v>57</v>
      </c>
      <c r="B76" s="77" t="s">
        <v>163</v>
      </c>
      <c r="C76" s="26">
        <f>(54500/1000)</f>
        <v>54.5</v>
      </c>
      <c r="D76" s="26">
        <f t="shared" ref="D76:E76" si="29">(54500/1000)</f>
        <v>54.5</v>
      </c>
      <c r="E76" s="26">
        <f t="shared" si="29"/>
        <v>54.5</v>
      </c>
      <c r="F76" s="1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s="4" customFormat="1" ht="62.25" customHeight="1">
      <c r="A77" s="13" t="s">
        <v>58</v>
      </c>
      <c r="B77" s="77" t="s">
        <v>164</v>
      </c>
      <c r="C77" s="26">
        <f>(477000/1000)</f>
        <v>477</v>
      </c>
      <c r="D77" s="26">
        <f t="shared" ref="D77:E77" si="30">(477000/1000)</f>
        <v>477</v>
      </c>
      <c r="E77" s="26">
        <f t="shared" si="30"/>
        <v>477</v>
      </c>
      <c r="F77" s="1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s="4" customFormat="1" ht="54" hidden="1" customHeight="1">
      <c r="A78" s="13" t="s">
        <v>165</v>
      </c>
      <c r="B78" s="57" t="s">
        <v>166</v>
      </c>
      <c r="C78" s="26"/>
      <c r="D78" s="26"/>
      <c r="E78" s="26"/>
      <c r="F78" s="1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s="4" customFormat="1" ht="73.5" hidden="1" customHeight="1">
      <c r="A79" s="13" t="s">
        <v>76</v>
      </c>
      <c r="B79" s="57" t="s">
        <v>77</v>
      </c>
      <c r="C79" s="26"/>
      <c r="D79" s="26"/>
      <c r="E79" s="26"/>
      <c r="F79" s="1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s="4" customFormat="1" ht="37.5" customHeight="1">
      <c r="A80" s="13" t="s">
        <v>177</v>
      </c>
      <c r="B80" s="68" t="s">
        <v>178</v>
      </c>
      <c r="C80" s="26">
        <f>(98000/1000)</f>
        <v>98</v>
      </c>
      <c r="D80" s="26">
        <f>(103000/1000)</f>
        <v>103</v>
      </c>
      <c r="E80" s="26">
        <f>(103000/1000)</f>
        <v>103</v>
      </c>
      <c r="F80" s="1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s="4" customFormat="1" ht="54.75" hidden="1" customHeight="1">
      <c r="A81" s="13" t="s">
        <v>167</v>
      </c>
      <c r="B81" s="57" t="s">
        <v>168</v>
      </c>
      <c r="C81" s="26"/>
      <c r="D81" s="26"/>
      <c r="E81" s="26"/>
      <c r="F81" s="1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s="4" customFormat="1" ht="52.5" hidden="1" customHeight="1">
      <c r="A82" s="13" t="s">
        <v>169</v>
      </c>
      <c r="B82" s="69" t="s">
        <v>170</v>
      </c>
      <c r="C82" s="26"/>
      <c r="D82" s="26"/>
      <c r="E82" s="26"/>
      <c r="F82" s="1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5" customHeight="1">
      <c r="A83" s="40" t="s">
        <v>175</v>
      </c>
      <c r="B83" s="64" t="s">
        <v>176</v>
      </c>
      <c r="C83" s="35"/>
      <c r="D83" s="36"/>
      <c r="E83" s="36"/>
    </row>
    <row r="84" spans="1:34" ht="20.25" customHeight="1">
      <c r="A84" s="44" t="s">
        <v>62</v>
      </c>
      <c r="B84" s="58" t="s">
        <v>193</v>
      </c>
      <c r="C84" s="32">
        <f t="shared" ref="C84:H84" si="31">C86+C88+C103+C127</f>
        <v>924620.63826000015</v>
      </c>
      <c r="D84" s="32">
        <f t="shared" si="31"/>
        <v>873011.24498000008</v>
      </c>
      <c r="E84" s="32">
        <f t="shared" si="31"/>
        <v>914684.34261000005</v>
      </c>
      <c r="F84" s="14">
        <f t="shared" si="31"/>
        <v>0</v>
      </c>
      <c r="G84" s="14">
        <f t="shared" si="31"/>
        <v>0</v>
      </c>
      <c r="H84" s="14">
        <f t="shared" si="31"/>
        <v>0</v>
      </c>
    </row>
    <row r="85" spans="1:34" ht="30" customHeight="1">
      <c r="A85" s="51" t="s">
        <v>63</v>
      </c>
      <c r="B85" s="70" t="s">
        <v>194</v>
      </c>
      <c r="C85" s="52">
        <f>C86+C88+C103+C127</f>
        <v>924620.63826000015</v>
      </c>
      <c r="D85" s="52">
        <f>D86+D88+D103+D127</f>
        <v>873011.24498000008</v>
      </c>
      <c r="E85" s="52">
        <f>E86+E88+E103+E127</f>
        <v>914684.34261000005</v>
      </c>
      <c r="F85" s="14"/>
      <c r="G85" s="14"/>
      <c r="H85" s="14"/>
    </row>
    <row r="86" spans="1:34" ht="21.75" customHeight="1">
      <c r="A86" s="42" t="s">
        <v>64</v>
      </c>
      <c r="B86" s="38" t="s">
        <v>195</v>
      </c>
      <c r="C86" s="35">
        <f t="shared" ref="C86:H86" si="32">C87</f>
        <v>51823</v>
      </c>
      <c r="D86" s="35">
        <f t="shared" si="32"/>
        <v>0</v>
      </c>
      <c r="E86" s="35">
        <f t="shared" si="32"/>
        <v>0</v>
      </c>
      <c r="F86" s="21">
        <f t="shared" si="32"/>
        <v>0</v>
      </c>
      <c r="G86" s="21">
        <f t="shared" si="32"/>
        <v>0</v>
      </c>
      <c r="H86" s="21">
        <f t="shared" si="32"/>
        <v>0</v>
      </c>
    </row>
    <row r="87" spans="1:34" ht="37.950000000000003" customHeight="1">
      <c r="A87" s="9" t="s">
        <v>97</v>
      </c>
      <c r="B87" s="66" t="s">
        <v>98</v>
      </c>
      <c r="C87" s="26">
        <f>(51823000/1000)</f>
        <v>51823</v>
      </c>
      <c r="D87" s="26">
        <v>0</v>
      </c>
      <c r="E87" s="26">
        <v>0</v>
      </c>
      <c r="F87" s="22"/>
      <c r="G87" s="14"/>
      <c r="H87" s="14"/>
    </row>
    <row r="88" spans="1:34" ht="26.25" customHeight="1">
      <c r="A88" s="42" t="s">
        <v>117</v>
      </c>
      <c r="B88" s="38" t="s">
        <v>196</v>
      </c>
      <c r="C88" s="35">
        <f>SUM(C89:C93)+C94</f>
        <v>43654.294609999997</v>
      </c>
      <c r="D88" s="35">
        <f t="shared" ref="D88:E88" si="33">SUM(D89:D93)+D94</f>
        <v>23778.505430000001</v>
      </c>
      <c r="E88" s="35">
        <f t="shared" si="33"/>
        <v>23450.75059</v>
      </c>
      <c r="F88" s="14">
        <f>SUM(F89:F102)</f>
        <v>0</v>
      </c>
      <c r="G88" s="14">
        <f>SUM(G89:G102)</f>
        <v>0</v>
      </c>
      <c r="H88" s="14">
        <f>SUM(H89:H102)</f>
        <v>0</v>
      </c>
    </row>
    <row r="89" spans="1:34" ht="53.25" customHeight="1">
      <c r="A89" s="10" t="s">
        <v>106</v>
      </c>
      <c r="B89" s="71" t="s">
        <v>200</v>
      </c>
      <c r="C89" s="29">
        <f>(904423.82/1000)</f>
        <v>904.42381999999998</v>
      </c>
      <c r="D89" s="29">
        <v>0</v>
      </c>
      <c r="E89" s="29">
        <v>0</v>
      </c>
      <c r="F89" s="14"/>
      <c r="G89" s="14"/>
      <c r="H89" s="14"/>
    </row>
    <row r="90" spans="1:34" ht="39" customHeight="1">
      <c r="A90" s="9" t="s">
        <v>109</v>
      </c>
      <c r="B90" s="72" t="s">
        <v>201</v>
      </c>
      <c r="C90" s="26">
        <f>(950000/1000)</f>
        <v>950</v>
      </c>
      <c r="D90" s="26">
        <v>0</v>
      </c>
      <c r="E90" s="26">
        <v>0</v>
      </c>
      <c r="F90" s="14"/>
      <c r="G90" s="14"/>
      <c r="H90" s="14"/>
    </row>
    <row r="91" spans="1:34" ht="25.5" customHeight="1">
      <c r="A91" s="9" t="s">
        <v>111</v>
      </c>
      <c r="B91" s="71" t="s">
        <v>202</v>
      </c>
      <c r="C91" s="29">
        <f>(6039783.34/1000)</f>
        <v>6039.78334</v>
      </c>
      <c r="D91" s="29">
        <f>(4639341.63/1000)</f>
        <v>4639.3416299999999</v>
      </c>
      <c r="E91" s="29">
        <f>(4289007.75/1000)</f>
        <v>4289.0077499999998</v>
      </c>
      <c r="F91" s="14"/>
      <c r="G91" s="14"/>
      <c r="H91" s="14"/>
    </row>
    <row r="92" spans="1:34" ht="21.75" customHeight="1">
      <c r="A92" s="11" t="s">
        <v>110</v>
      </c>
      <c r="B92" s="71" t="s">
        <v>203</v>
      </c>
      <c r="C92" s="26">
        <f>(0/1000)</f>
        <v>0</v>
      </c>
      <c r="D92" s="26">
        <f>(1828902.44/1000)</f>
        <v>1828.9024399999998</v>
      </c>
      <c r="E92" s="26">
        <f>(1851481.48/1000)</f>
        <v>1851.4814799999999</v>
      </c>
      <c r="F92" s="14"/>
      <c r="G92" s="14"/>
      <c r="H92" s="14"/>
    </row>
    <row r="93" spans="1:34" ht="28.5" customHeight="1">
      <c r="A93" s="11" t="s">
        <v>107</v>
      </c>
      <c r="B93" s="73" t="s">
        <v>204</v>
      </c>
      <c r="C93" s="29">
        <f>(11403109.61/1000)</f>
        <v>11403.10961</v>
      </c>
      <c r="D93" s="29">
        <v>0</v>
      </c>
      <c r="E93" s="29">
        <v>0</v>
      </c>
      <c r="F93" s="14"/>
      <c r="G93" s="14"/>
      <c r="H93" s="14"/>
    </row>
    <row r="94" spans="1:34" ht="19.2" customHeight="1">
      <c r="A94" s="40" t="s">
        <v>108</v>
      </c>
      <c r="B94" s="64" t="s">
        <v>197</v>
      </c>
      <c r="C94" s="53">
        <f>SUM(C95:C102)</f>
        <v>24356.97784</v>
      </c>
      <c r="D94" s="53">
        <f>SUM(D95:D102)</f>
        <v>17310.26136</v>
      </c>
      <c r="E94" s="53">
        <f>SUM(E95:E102)</f>
        <v>17310.26136</v>
      </c>
      <c r="F94" s="14"/>
      <c r="G94" s="14"/>
      <c r="H94" s="14"/>
    </row>
    <row r="95" spans="1:34" ht="27.6" customHeight="1">
      <c r="A95" s="9"/>
      <c r="B95" s="66" t="s">
        <v>113</v>
      </c>
      <c r="C95" s="26">
        <f>(3273607.64/1000)</f>
        <v>3273.6076400000002</v>
      </c>
      <c r="D95" s="26">
        <v>0</v>
      </c>
      <c r="E95" s="26">
        <v>0</v>
      </c>
      <c r="F95" s="14"/>
      <c r="G95" s="14"/>
      <c r="H95" s="14"/>
    </row>
    <row r="96" spans="1:34" ht="30" customHeight="1">
      <c r="A96" s="9"/>
      <c r="B96" s="71" t="s">
        <v>112</v>
      </c>
      <c r="C96" s="29">
        <f>(2079000/1000)</f>
        <v>2079</v>
      </c>
      <c r="D96" s="29">
        <v>0</v>
      </c>
      <c r="E96" s="29">
        <v>0</v>
      </c>
      <c r="F96" s="14"/>
      <c r="G96" s="14"/>
      <c r="H96" s="14"/>
    </row>
    <row r="97" spans="1:8" ht="39.6" customHeight="1">
      <c r="A97" s="9"/>
      <c r="B97" s="71" t="s">
        <v>115</v>
      </c>
      <c r="C97" s="26">
        <f>(843150.05/1000)</f>
        <v>843.15005000000008</v>
      </c>
      <c r="D97" s="26">
        <v>0</v>
      </c>
      <c r="E97" s="26">
        <v>0</v>
      </c>
      <c r="F97" s="14"/>
      <c r="G97" s="14"/>
      <c r="H97" s="14"/>
    </row>
    <row r="98" spans="1:8" ht="29.4" customHeight="1">
      <c r="A98" s="9"/>
      <c r="B98" s="71" t="s">
        <v>116</v>
      </c>
      <c r="C98" s="26">
        <f>(17142256.36/1000)</f>
        <v>17142.256359999999</v>
      </c>
      <c r="D98" s="26">
        <f t="shared" ref="D98:E98" si="34">(17142256.36/1000)</f>
        <v>17142.256359999999</v>
      </c>
      <c r="E98" s="26">
        <f t="shared" si="34"/>
        <v>17142.256359999999</v>
      </c>
      <c r="F98" s="14"/>
      <c r="G98" s="14"/>
      <c r="H98" s="14"/>
    </row>
    <row r="99" spans="1:8" ht="22.95" customHeight="1">
      <c r="A99" s="9"/>
      <c r="B99" s="74" t="s">
        <v>114</v>
      </c>
      <c r="C99" s="29">
        <f>(850958.79/1000)</f>
        <v>850.95879000000002</v>
      </c>
      <c r="D99" s="29">
        <v>0</v>
      </c>
      <c r="E99" s="29">
        <v>0</v>
      </c>
      <c r="F99" s="14"/>
      <c r="G99" s="14"/>
      <c r="H99" s="14"/>
    </row>
    <row r="100" spans="1:8" ht="25.95" customHeight="1">
      <c r="A100" s="9"/>
      <c r="B100" s="74" t="s">
        <v>65</v>
      </c>
      <c r="C100" s="26">
        <f>(168005/1000)</f>
        <v>168.005</v>
      </c>
      <c r="D100" s="26">
        <f t="shared" ref="D100:E100" si="35">(168005/1000)</f>
        <v>168.005</v>
      </c>
      <c r="E100" s="26">
        <f t="shared" si="35"/>
        <v>168.005</v>
      </c>
      <c r="F100" s="14"/>
      <c r="G100" s="14"/>
      <c r="H100" s="14"/>
    </row>
    <row r="101" spans="1:8" ht="1.2" customHeight="1">
      <c r="A101" s="9"/>
      <c r="B101" s="74" t="s">
        <v>66</v>
      </c>
      <c r="C101" s="26">
        <v>0</v>
      </c>
      <c r="D101" s="26">
        <v>0</v>
      </c>
      <c r="E101" s="26">
        <v>0</v>
      </c>
      <c r="F101" s="14"/>
      <c r="G101" s="14"/>
      <c r="H101" s="14"/>
    </row>
    <row r="102" spans="1:8" ht="28.2" hidden="1" customHeight="1">
      <c r="A102" s="9"/>
      <c r="B102" s="75" t="s">
        <v>75</v>
      </c>
      <c r="C102" s="26">
        <v>0</v>
      </c>
      <c r="D102" s="26">
        <v>0</v>
      </c>
      <c r="E102" s="26">
        <v>0</v>
      </c>
      <c r="F102" s="14"/>
      <c r="G102" s="14"/>
      <c r="H102" s="14"/>
    </row>
    <row r="103" spans="1:8" ht="20.25" customHeight="1">
      <c r="A103" s="42" t="s">
        <v>67</v>
      </c>
      <c r="B103" s="37" t="s">
        <v>198</v>
      </c>
      <c r="C103" s="35">
        <f>SUM(C104:C110)+C111+C125</f>
        <v>795069.89775000012</v>
      </c>
      <c r="D103" s="35">
        <f t="shared" ref="D103:E103" si="36">SUM(D104:D110)+D111+D125</f>
        <v>815159.29365000001</v>
      </c>
      <c r="E103" s="35">
        <f t="shared" si="36"/>
        <v>857160.14612000005</v>
      </c>
      <c r="F103" s="14">
        <f>SUM(F104:F124)</f>
        <v>0</v>
      </c>
      <c r="G103" s="14">
        <f>SUM(G104:G124)</f>
        <v>0</v>
      </c>
      <c r="H103" s="14">
        <f>SUM(H104:H124)</f>
        <v>0</v>
      </c>
    </row>
    <row r="104" spans="1:8" ht="39.75" customHeight="1">
      <c r="A104" s="11" t="s">
        <v>94</v>
      </c>
      <c r="B104" s="45" t="s">
        <v>205</v>
      </c>
      <c r="C104" s="30">
        <f>(18161640/1000)</f>
        <v>18161.64</v>
      </c>
      <c r="D104" s="30">
        <f t="shared" ref="D104:E104" si="37">(18161640/1000)</f>
        <v>18161.64</v>
      </c>
      <c r="E104" s="30">
        <f t="shared" si="37"/>
        <v>18161.64</v>
      </c>
      <c r="F104" s="14"/>
      <c r="G104" s="14"/>
      <c r="H104" s="14"/>
    </row>
    <row r="105" spans="1:8" ht="42" customHeight="1">
      <c r="A105" s="11" t="s">
        <v>92</v>
      </c>
      <c r="B105" s="66" t="s">
        <v>206</v>
      </c>
      <c r="C105" s="29">
        <f>(24131500/1000)</f>
        <v>24131.5</v>
      </c>
      <c r="D105" s="29">
        <f>(24550550/1000)</f>
        <v>24550.55</v>
      </c>
      <c r="E105" s="29">
        <f>(24883911.5/1000)</f>
        <v>24883.911499999998</v>
      </c>
      <c r="F105" s="14"/>
      <c r="G105" s="14"/>
      <c r="H105" s="14"/>
    </row>
    <row r="106" spans="1:8" ht="27.75" customHeight="1">
      <c r="A106" s="11" t="s">
        <v>102</v>
      </c>
      <c r="B106" s="45" t="s">
        <v>207</v>
      </c>
      <c r="C106" s="29">
        <f>(2299142/1000)</f>
        <v>2299.1419999999998</v>
      </c>
      <c r="D106" s="29">
        <f>(2374459/1000)</f>
        <v>2374.4589999999998</v>
      </c>
      <c r="E106" s="29">
        <f>(2452788/1000)</f>
        <v>2452.788</v>
      </c>
      <c r="F106" s="14"/>
      <c r="G106" s="14"/>
      <c r="H106" s="14"/>
    </row>
    <row r="107" spans="1:8" ht="37.5" customHeight="1">
      <c r="A107" s="11" t="s">
        <v>100</v>
      </c>
      <c r="B107" s="66" t="s">
        <v>208</v>
      </c>
      <c r="C107" s="26">
        <f>(2255640/1000)</f>
        <v>2255.64</v>
      </c>
      <c r="D107" s="26">
        <f>(2337300/1000)</f>
        <v>2337.3000000000002</v>
      </c>
      <c r="E107" s="26">
        <f>(2337300/1000)</f>
        <v>2337.3000000000002</v>
      </c>
      <c r="F107" s="14"/>
      <c r="G107" s="14"/>
      <c r="H107" s="14"/>
    </row>
    <row r="108" spans="1:8" ht="24" customHeight="1">
      <c r="A108" s="9" t="s">
        <v>103</v>
      </c>
      <c r="B108" s="73" t="s">
        <v>209</v>
      </c>
      <c r="C108" s="26">
        <f>(2942229/1000)</f>
        <v>2942.2289999999998</v>
      </c>
      <c r="D108" s="26">
        <f>(3059918/1000)</f>
        <v>3059.9180000000001</v>
      </c>
      <c r="E108" s="26">
        <f>(3182315/1000)</f>
        <v>3182.3150000000001</v>
      </c>
      <c r="F108" s="14"/>
      <c r="G108" s="14"/>
      <c r="H108" s="14"/>
    </row>
    <row r="109" spans="1:8" ht="40.5" customHeight="1">
      <c r="A109" s="11" t="s">
        <v>101</v>
      </c>
      <c r="B109" s="45" t="s">
        <v>210</v>
      </c>
      <c r="C109" s="29">
        <f>(6475/1000)</f>
        <v>6.4749999999999996</v>
      </c>
      <c r="D109" s="29">
        <f>(5765/1000)</f>
        <v>5.7649999999999997</v>
      </c>
      <c r="E109" s="29">
        <f>(5765/1000)</f>
        <v>5.7649999999999997</v>
      </c>
      <c r="F109" s="14"/>
      <c r="G109" s="14"/>
      <c r="H109" s="14"/>
    </row>
    <row r="110" spans="1:8" ht="54.75" customHeight="1">
      <c r="A110" s="9" t="s">
        <v>93</v>
      </c>
      <c r="B110" s="74" t="s">
        <v>211</v>
      </c>
      <c r="C110" s="29">
        <f>(8415502/1000)</f>
        <v>8415.5020000000004</v>
      </c>
      <c r="D110" s="29">
        <f>(8749998/1000)</f>
        <v>8749.9979999999996</v>
      </c>
      <c r="E110" s="29">
        <f>(9100423/1000)</f>
        <v>9100.4230000000007</v>
      </c>
      <c r="F110" s="14"/>
      <c r="G110" s="14"/>
      <c r="H110" s="14"/>
    </row>
    <row r="111" spans="1:8" ht="30.75" customHeight="1">
      <c r="A111" s="34" t="s">
        <v>91</v>
      </c>
      <c r="B111" s="64" t="s">
        <v>213</v>
      </c>
      <c r="C111" s="53">
        <f>SUM(C112:C124)</f>
        <v>736178.38675000006</v>
      </c>
      <c r="D111" s="53">
        <f>SUM(D112:D124)</f>
        <v>755215.03064999997</v>
      </c>
      <c r="E111" s="53">
        <f>SUM(E112:E124)</f>
        <v>796305.11062000005</v>
      </c>
      <c r="F111" s="14"/>
      <c r="G111" s="14"/>
      <c r="H111" s="14"/>
    </row>
    <row r="112" spans="1:8" ht="36" customHeight="1">
      <c r="A112" s="9"/>
      <c r="B112" s="73" t="s">
        <v>99</v>
      </c>
      <c r="C112" s="26">
        <f>(20147834.32/1000)</f>
        <v>20147.834320000002</v>
      </c>
      <c r="D112" s="26">
        <f>(1436787.74/1000)</f>
        <v>1436.78774</v>
      </c>
      <c r="E112" s="26">
        <f>(1436787.74/1000)</f>
        <v>1436.78774</v>
      </c>
      <c r="F112" s="14"/>
      <c r="G112" s="14"/>
      <c r="H112" s="14"/>
    </row>
    <row r="113" spans="1:8" ht="92.4">
      <c r="A113" s="9"/>
      <c r="B113" s="71" t="s">
        <v>90</v>
      </c>
      <c r="C113" s="26">
        <f>(58451/1000)</f>
        <v>58.451000000000001</v>
      </c>
      <c r="D113" s="26">
        <f>(61079/1000)</f>
        <v>61.079000000000001</v>
      </c>
      <c r="E113" s="26">
        <f>(63767/1000)</f>
        <v>63.767000000000003</v>
      </c>
      <c r="F113" s="14"/>
      <c r="G113" s="14"/>
      <c r="H113" s="14"/>
    </row>
    <row r="114" spans="1:8" ht="26.4">
      <c r="A114" s="9"/>
      <c r="B114" s="71" t="s">
        <v>68</v>
      </c>
      <c r="C114" s="29">
        <f>(1219473/1000)</f>
        <v>1219.473</v>
      </c>
      <c r="D114" s="29">
        <f>(1265652/1000)</f>
        <v>1265.652</v>
      </c>
      <c r="E114" s="29">
        <f>(1313679/1000)</f>
        <v>1313.6790000000001</v>
      </c>
      <c r="F114" s="14"/>
      <c r="G114" s="14"/>
      <c r="H114" s="14"/>
    </row>
    <row r="115" spans="1:8" ht="39.6">
      <c r="A115" s="9"/>
      <c r="B115" s="71" t="s">
        <v>69</v>
      </c>
      <c r="C115" s="29">
        <f>(38.84/1000)</f>
        <v>3.8840000000000006E-2</v>
      </c>
      <c r="D115" s="29">
        <f>(40.38/1000)</f>
        <v>4.0379999999999999E-2</v>
      </c>
      <c r="E115" s="29">
        <f>(42/1000)</f>
        <v>4.2000000000000003E-2</v>
      </c>
      <c r="F115" s="14"/>
      <c r="G115" s="14"/>
      <c r="H115" s="14"/>
    </row>
    <row r="116" spans="1:8" ht="39.6" customHeight="1">
      <c r="A116" s="9"/>
      <c r="B116" s="74" t="s">
        <v>215</v>
      </c>
      <c r="C116" s="29">
        <f>(1710852.35/1000)</f>
        <v>1710.8523500000001</v>
      </c>
      <c r="D116" s="29">
        <f t="shared" ref="D116:E116" si="38">(1710852.35/1000)</f>
        <v>1710.8523500000001</v>
      </c>
      <c r="E116" s="29">
        <f t="shared" si="38"/>
        <v>1710.8523500000001</v>
      </c>
      <c r="F116" s="14"/>
      <c r="G116" s="14"/>
      <c r="H116" s="14"/>
    </row>
    <row r="117" spans="1:8" ht="47.25" customHeight="1">
      <c r="A117" s="9"/>
      <c r="B117" s="74" t="s">
        <v>216</v>
      </c>
      <c r="C117" s="29">
        <f>(438719501/1000)</f>
        <v>438719.50099999999</v>
      </c>
      <c r="D117" s="29">
        <f>(466413577/1000)</f>
        <v>466413.57699999999</v>
      </c>
      <c r="E117" s="29">
        <f>(494491406/1000)</f>
        <v>494491.40600000002</v>
      </c>
      <c r="F117" s="14"/>
      <c r="G117" s="14"/>
      <c r="H117" s="14"/>
    </row>
    <row r="118" spans="1:8" ht="39.6">
      <c r="A118" s="9"/>
      <c r="B118" s="74" t="s">
        <v>88</v>
      </c>
      <c r="C118" s="29">
        <f>(28958081.16/1000)</f>
        <v>28958.081160000002</v>
      </c>
      <c r="D118" s="29">
        <f>(29695887.1/1000)</f>
        <v>29695.8871</v>
      </c>
      <c r="E118" s="29">
        <f>(30706661.45/1000)</f>
        <v>30706.66145</v>
      </c>
      <c r="F118" s="14"/>
      <c r="G118" s="14"/>
      <c r="H118" s="14"/>
    </row>
    <row r="119" spans="1:8" ht="26.4">
      <c r="A119" s="9"/>
      <c r="B119" s="74" t="s">
        <v>89</v>
      </c>
      <c r="C119" s="29">
        <f>(3910733/1000)</f>
        <v>3910.7330000000002</v>
      </c>
      <c r="D119" s="29">
        <f>(4057707/1000)</f>
        <v>4057.7069999999999</v>
      </c>
      <c r="E119" s="29">
        <f>(4210560/1000)</f>
        <v>4210.5600000000004</v>
      </c>
      <c r="F119" s="14"/>
      <c r="G119" s="14"/>
      <c r="H119" s="14"/>
    </row>
    <row r="120" spans="1:8" ht="39.6">
      <c r="A120" s="9"/>
      <c r="B120" s="74" t="s">
        <v>70</v>
      </c>
      <c r="C120" s="29">
        <f>(10302000/1000)</f>
        <v>10302</v>
      </c>
      <c r="D120" s="29">
        <f t="shared" ref="D120:E120" si="39">(10302000/1000)</f>
        <v>10302</v>
      </c>
      <c r="E120" s="29">
        <f t="shared" si="39"/>
        <v>10302</v>
      </c>
      <c r="F120" s="14"/>
      <c r="G120" s="14"/>
      <c r="H120" s="14"/>
    </row>
    <row r="121" spans="1:8" ht="39.6">
      <c r="A121" s="9"/>
      <c r="B121" s="74" t="s">
        <v>71</v>
      </c>
      <c r="C121" s="29">
        <f>(4913320/1000)</f>
        <v>4913.32</v>
      </c>
      <c r="D121" s="29">
        <f>(4818960/1000)</f>
        <v>4818.96</v>
      </c>
      <c r="E121" s="29">
        <f>(4818960/1000)</f>
        <v>4818.96</v>
      </c>
      <c r="F121" s="14"/>
      <c r="G121" s="14"/>
      <c r="H121" s="14"/>
    </row>
    <row r="122" spans="1:8" ht="39.6">
      <c r="A122" s="9"/>
      <c r="B122" s="74" t="s">
        <v>72</v>
      </c>
      <c r="C122" s="29">
        <f>(220139715/1000)</f>
        <v>220139.715</v>
      </c>
      <c r="D122" s="29">
        <f>(233589101/1000)</f>
        <v>233589.101</v>
      </c>
      <c r="E122" s="29">
        <f>(247247008/1000)</f>
        <v>247247.008</v>
      </c>
      <c r="F122" s="14"/>
      <c r="G122" s="14"/>
      <c r="H122" s="14"/>
    </row>
    <row r="123" spans="1:8" ht="39.6">
      <c r="A123" s="9"/>
      <c r="B123" s="74" t="s">
        <v>104</v>
      </c>
      <c r="C123" s="29">
        <f>(3387.08/1000)</f>
        <v>3.3870800000000001</v>
      </c>
      <c r="D123" s="29">
        <f t="shared" ref="D123:E123" si="40">(3387.08/1000)</f>
        <v>3.3870800000000001</v>
      </c>
      <c r="E123" s="29">
        <f t="shared" si="40"/>
        <v>3.3870800000000001</v>
      </c>
      <c r="F123" s="14"/>
      <c r="G123" s="14"/>
      <c r="H123" s="14"/>
    </row>
    <row r="124" spans="1:8" ht="39.6">
      <c r="A124" s="9"/>
      <c r="B124" s="74" t="s">
        <v>87</v>
      </c>
      <c r="C124" s="29">
        <f>(6095000/1000)</f>
        <v>6095</v>
      </c>
      <c r="D124" s="29">
        <f>(1860000/1000)</f>
        <v>1860</v>
      </c>
      <c r="E124" s="29">
        <f>(0/1000)</f>
        <v>0</v>
      </c>
      <c r="F124" s="14"/>
      <c r="G124" s="14"/>
      <c r="H124" s="14"/>
    </row>
    <row r="125" spans="1:8" ht="22.5" customHeight="1">
      <c r="A125" s="40" t="s">
        <v>105</v>
      </c>
      <c r="B125" s="76" t="s">
        <v>212</v>
      </c>
      <c r="C125" s="28">
        <f>SUM(C126)</f>
        <v>679.38300000000004</v>
      </c>
      <c r="D125" s="28">
        <f t="shared" ref="D125:E125" si="41">SUM(D126)</f>
        <v>704.63300000000004</v>
      </c>
      <c r="E125" s="28">
        <f t="shared" si="41"/>
        <v>730.89300000000003</v>
      </c>
      <c r="F125" s="14"/>
      <c r="G125" s="14"/>
      <c r="H125" s="14"/>
    </row>
    <row r="126" spans="1:8" ht="39.6">
      <c r="A126" s="33"/>
      <c r="B126" s="45" t="s">
        <v>214</v>
      </c>
      <c r="C126" s="26">
        <f>(679383/1000)</f>
        <v>679.38300000000004</v>
      </c>
      <c r="D126" s="26">
        <f>(704633/1000)</f>
        <v>704.63300000000004</v>
      </c>
      <c r="E126" s="26">
        <f>(730893/1000)</f>
        <v>730.89300000000003</v>
      </c>
      <c r="F126" s="14"/>
      <c r="G126" s="14"/>
      <c r="H126" s="14"/>
    </row>
    <row r="127" spans="1:8" ht="22.95" customHeight="1">
      <c r="A127" s="54" t="s">
        <v>73</v>
      </c>
      <c r="B127" s="37" t="s">
        <v>74</v>
      </c>
      <c r="C127" s="35">
        <f>SUM(C128:C129)</f>
        <v>34073.445899999999</v>
      </c>
      <c r="D127" s="35">
        <f>SUM(D128:D129)</f>
        <v>34073.445899999999</v>
      </c>
      <c r="E127" s="35">
        <f>SUM(E128:E129)</f>
        <v>34073.445899999999</v>
      </c>
      <c r="F127" s="14">
        <f>F128+F129</f>
        <v>0</v>
      </c>
      <c r="G127" s="14">
        <f>G128+G129</f>
        <v>0</v>
      </c>
      <c r="H127" s="14">
        <f>H128+H129</f>
        <v>0</v>
      </c>
    </row>
    <row r="128" spans="1:8" ht="79.95" customHeight="1">
      <c r="A128" s="11" t="s">
        <v>96</v>
      </c>
      <c r="B128" s="66" t="s">
        <v>217</v>
      </c>
      <c r="C128" s="29">
        <f>(29250000/1000)</f>
        <v>29250</v>
      </c>
      <c r="D128" s="29">
        <f t="shared" ref="D128:E128" si="42">(29250000/1000)</f>
        <v>29250</v>
      </c>
      <c r="E128" s="29">
        <f t="shared" si="42"/>
        <v>29250</v>
      </c>
      <c r="F128" s="14"/>
      <c r="G128" s="14"/>
      <c r="H128" s="14"/>
    </row>
    <row r="129" spans="1:8" ht="51" customHeight="1">
      <c r="A129" s="11" t="s">
        <v>95</v>
      </c>
      <c r="B129" s="66" t="s">
        <v>218</v>
      </c>
      <c r="C129" s="29">
        <f>(4823445.9/1000)</f>
        <v>4823.4459000000006</v>
      </c>
      <c r="D129" s="29">
        <f t="shared" ref="D129:E129" si="43">(4823445.9/1000)</f>
        <v>4823.4459000000006</v>
      </c>
      <c r="E129" s="29">
        <f t="shared" si="43"/>
        <v>4823.4459000000006</v>
      </c>
      <c r="F129" s="14"/>
      <c r="G129" s="14"/>
      <c r="H129" s="14"/>
    </row>
    <row r="130" spans="1:8" ht="18.75" customHeight="1">
      <c r="A130" s="55"/>
      <c r="B130" s="56" t="s">
        <v>199</v>
      </c>
      <c r="C130" s="31">
        <f t="shared" ref="C130:H130" si="44">C12+C84</f>
        <v>1586165.0482600001</v>
      </c>
      <c r="D130" s="31">
        <f t="shared" si="44"/>
        <v>1538811.24498</v>
      </c>
      <c r="E130" s="31">
        <f t="shared" si="44"/>
        <v>1579423.3426100002</v>
      </c>
      <c r="F130" s="14">
        <f t="shared" si="44"/>
        <v>0</v>
      </c>
      <c r="G130" s="14">
        <f t="shared" si="44"/>
        <v>0</v>
      </c>
      <c r="H130" s="14">
        <f t="shared" si="44"/>
        <v>0</v>
      </c>
    </row>
  </sheetData>
  <sheetProtection selectLockedCells="1" selectUnlockedCells="1"/>
  <mergeCells count="8">
    <mergeCell ref="C4:E4"/>
    <mergeCell ref="A9:A10"/>
    <mergeCell ref="B9:B10"/>
    <mergeCell ref="D9:D10"/>
    <mergeCell ref="E9:E10"/>
    <mergeCell ref="C9:C10"/>
    <mergeCell ref="B6:D6"/>
    <mergeCell ref="A7:E7"/>
  </mergeCells>
  <phoneticPr fontId="3" type="noConversion"/>
  <pageMargins left="1.1811023622047245" right="0.59055118110236227" top="0.43307086614173229" bottom="0.55118110236220474" header="0" footer="0"/>
  <pageSetup paperSize="9" scale="63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Евченко</dc:creator>
  <cp:lastModifiedBy>Светлана Цыбульская</cp:lastModifiedBy>
  <cp:revision>5</cp:revision>
  <cp:lastPrinted>2023-10-13T01:21:12Z</cp:lastPrinted>
  <dcterms:created xsi:type="dcterms:W3CDTF">1601-01-01T00:00:00Z</dcterms:created>
  <dcterms:modified xsi:type="dcterms:W3CDTF">2023-11-01T03:01:37Z</dcterms:modified>
</cp:coreProperties>
</file>