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cs\Бюджет\Бюджет 2024 года\Мониторинг по приказу Минфина 65\до 01.12.2024\"/>
    </mc:Choice>
  </mc:AlternateContent>
  <xr:revisionPtr revIDLastSave="0" documentId="13_ncr:1_{C58214FD-BC1A-4BEC-8B0C-F5B03BDBD211}" xr6:coauthVersionLast="43" xr6:coauthVersionMax="43" xr10:uidLastSave="{00000000-0000-0000-0000-000000000000}"/>
  <bookViews>
    <workbookView xWindow="-45" yWindow="15" windowWidth="14640" windowHeight="15420" tabRatio="435" xr2:uid="{00000000-000D-0000-FFFF-FFFF00000000}"/>
  </bookViews>
  <sheets>
    <sheet name="Документ" sheetId="1" r:id="rId1"/>
  </sheets>
  <definedNames>
    <definedName name="_xlnm.Print_Area" localSheetId="0">Документ!$A$2:$I$163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8" i="1" l="1"/>
  <c r="C92" i="1"/>
  <c r="D84" i="1" l="1"/>
  <c r="D85" i="1"/>
  <c r="D92" i="1"/>
  <c r="D108" i="1"/>
  <c r="D125" i="1"/>
  <c r="D136" i="1"/>
  <c r="D158" i="1"/>
  <c r="D156" i="1"/>
  <c r="D155" i="1"/>
  <c r="D154" i="1" s="1"/>
  <c r="D153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3" i="1"/>
  <c r="D132" i="1"/>
  <c r="D131" i="1"/>
  <c r="D130" i="1"/>
  <c r="D128" i="1"/>
  <c r="D126" i="1"/>
  <c r="D119" i="1"/>
  <c r="D124" i="1"/>
  <c r="D123" i="1"/>
  <c r="C123" i="1"/>
  <c r="D116" i="1"/>
  <c r="D115" i="1"/>
  <c r="D117" i="1"/>
  <c r="D114" i="1"/>
  <c r="D113" i="1"/>
  <c r="D112" i="1"/>
  <c r="D111" i="1"/>
  <c r="D109" i="1"/>
  <c r="D101" i="1"/>
  <c r="D100" i="1"/>
  <c r="D95" i="1"/>
  <c r="D94" i="1" l="1"/>
  <c r="D89" i="1"/>
  <c r="D88" i="1"/>
  <c r="C160" i="1" l="1"/>
  <c r="C162" i="1"/>
  <c r="C156" i="1"/>
  <c r="C155" i="1"/>
  <c r="C137" i="1"/>
  <c r="C149" i="1"/>
  <c r="C148" i="1"/>
  <c r="C147" i="1"/>
  <c r="C146" i="1"/>
  <c r="C145" i="1"/>
  <c r="C140" i="1"/>
  <c r="C139" i="1"/>
  <c r="C143" i="1"/>
  <c r="C144" i="1"/>
  <c r="C135" i="1"/>
  <c r="C134" i="1" s="1"/>
  <c r="C142" i="1"/>
  <c r="C129" i="1"/>
  <c r="C128" i="1"/>
  <c r="C107" i="1"/>
  <c r="C106" i="1"/>
  <c r="C105" i="1"/>
  <c r="C116" i="1"/>
  <c r="C114" i="1"/>
  <c r="C104" i="1"/>
  <c r="C102" i="1" s="1"/>
  <c r="C115" i="1"/>
  <c r="C103" i="1"/>
  <c r="C111" i="1"/>
  <c r="C98" i="1"/>
  <c r="C96" i="1"/>
  <c r="C99" i="1"/>
  <c r="C97" i="1"/>
  <c r="C95" i="1"/>
  <c r="C91" i="1"/>
  <c r="C87" i="1"/>
  <c r="C133" i="1"/>
  <c r="C151" i="1"/>
  <c r="C131" i="1"/>
  <c r="C136" i="1" l="1"/>
  <c r="C150" i="1"/>
  <c r="C125" i="1" s="1"/>
  <c r="G68" i="1" l="1"/>
  <c r="F68" i="1"/>
  <c r="G63" i="1"/>
  <c r="F63" i="1"/>
  <c r="G62" i="1"/>
  <c r="F62" i="1"/>
  <c r="G29" i="1"/>
  <c r="F29" i="1"/>
  <c r="F17" i="1"/>
  <c r="G17" i="1"/>
  <c r="F18" i="1"/>
  <c r="G18" i="1"/>
  <c r="F19" i="1"/>
  <c r="G19" i="1"/>
  <c r="D11" i="1"/>
  <c r="C11" i="1"/>
  <c r="C78" i="1"/>
  <c r="C61" i="1" s="1"/>
  <c r="D61" i="1"/>
  <c r="D58" i="1"/>
  <c r="D56" i="1"/>
  <c r="D54" i="1"/>
  <c r="D48" i="1"/>
  <c r="C48" i="1"/>
  <c r="C47" i="1" s="1"/>
  <c r="D47" i="1"/>
  <c r="D42" i="1"/>
  <c r="D37" i="1"/>
  <c r="C37" i="1"/>
  <c r="D34" i="1"/>
  <c r="D32" i="1" s="1"/>
  <c r="C34" i="1"/>
  <c r="D26" i="1"/>
  <c r="D21" i="1"/>
  <c r="D20" i="1" s="1"/>
  <c r="D10" i="1"/>
  <c r="C10" i="1" l="1"/>
  <c r="D53" i="1"/>
  <c r="D9" i="1" s="1"/>
  <c r="D152" i="1" l="1"/>
  <c r="D86" i="1"/>
  <c r="D163" i="1" l="1"/>
  <c r="C86" i="1"/>
  <c r="C154" i="1"/>
  <c r="C159" i="1"/>
  <c r="C161" i="1"/>
  <c r="C58" i="1"/>
  <c r="C56" i="1"/>
  <c r="C54" i="1"/>
  <c r="C42" i="1"/>
  <c r="C32" i="1"/>
  <c r="C26" i="1"/>
  <c r="C21" i="1"/>
  <c r="C20" i="1" s="1"/>
  <c r="C85" i="1" l="1"/>
  <c r="C84" i="1"/>
  <c r="C163" i="1" s="1"/>
  <c r="C53" i="1"/>
  <c r="C9" i="1"/>
  <c r="E159" i="1"/>
  <c r="E158" i="1"/>
  <c r="E156" i="1"/>
  <c r="E155" i="1"/>
  <c r="E153" i="1"/>
  <c r="E152" i="1" s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3" i="1"/>
  <c r="E132" i="1"/>
  <c r="E131" i="1"/>
  <c r="E130" i="1"/>
  <c r="E129" i="1"/>
  <c r="E128" i="1"/>
  <c r="E122" i="1"/>
  <c r="E121" i="1"/>
  <c r="E120" i="1"/>
  <c r="E118" i="1"/>
  <c r="E117" i="1"/>
  <c r="E115" i="1"/>
  <c r="E114" i="1"/>
  <c r="E113" i="1"/>
  <c r="E112" i="1"/>
  <c r="E111" i="1"/>
  <c r="E110" i="1"/>
  <c r="E109" i="1"/>
  <c r="E100" i="1"/>
  <c r="E96" i="1"/>
  <c r="E95" i="1"/>
  <c r="E94" i="1"/>
  <c r="E93" i="1"/>
  <c r="E89" i="1"/>
  <c r="E86" i="1" s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7" i="1"/>
  <c r="E66" i="1"/>
  <c r="E65" i="1"/>
  <c r="E64" i="1"/>
  <c r="E60" i="1"/>
  <c r="E59" i="1"/>
  <c r="E57" i="1"/>
  <c r="E55" i="1"/>
  <c r="E54" i="1" s="1"/>
  <c r="E52" i="1"/>
  <c r="E51" i="1"/>
  <c r="E50" i="1"/>
  <c r="E49" i="1"/>
  <c r="E46" i="1"/>
  <c r="E45" i="1"/>
  <c r="E44" i="1"/>
  <c r="E43" i="1"/>
  <c r="E40" i="1"/>
  <c r="E39" i="1"/>
  <c r="E38" i="1"/>
  <c r="E36" i="1"/>
  <c r="E35" i="1"/>
  <c r="E33" i="1"/>
  <c r="E31" i="1"/>
  <c r="E30" i="1"/>
  <c r="E28" i="1"/>
  <c r="E27" i="1"/>
  <c r="E25" i="1"/>
  <c r="E24" i="1"/>
  <c r="E23" i="1"/>
  <c r="E22" i="1"/>
  <c r="E16" i="1"/>
  <c r="E15" i="1"/>
  <c r="E14" i="1"/>
  <c r="E13" i="1"/>
  <c r="E154" i="1" l="1"/>
  <c r="E11" i="1"/>
  <c r="F13" i="1"/>
  <c r="G13" i="1"/>
  <c r="E21" i="1"/>
  <c r="G22" i="1"/>
  <c r="F22" i="1"/>
  <c r="G33" i="1"/>
  <c r="F33" i="1"/>
  <c r="G45" i="1"/>
  <c r="F45" i="1"/>
  <c r="E56" i="1"/>
  <c r="E53" i="1" s="1"/>
  <c r="G57" i="1"/>
  <c r="G56" i="1" s="1"/>
  <c r="F57" i="1"/>
  <c r="F56" i="1" s="1"/>
  <c r="G74" i="1"/>
  <c r="F74" i="1"/>
  <c r="F23" i="1"/>
  <c r="G23" i="1"/>
  <c r="G28" i="1"/>
  <c r="F28" i="1"/>
  <c r="G40" i="1"/>
  <c r="F40" i="1"/>
  <c r="F52" i="1"/>
  <c r="G52" i="1"/>
  <c r="G59" i="1"/>
  <c r="F59" i="1"/>
  <c r="G66" i="1"/>
  <c r="F66" i="1"/>
  <c r="G71" i="1"/>
  <c r="F71" i="1"/>
  <c r="G75" i="1"/>
  <c r="F75" i="1"/>
  <c r="F15" i="1"/>
  <c r="G15" i="1"/>
  <c r="G36" i="1"/>
  <c r="F36" i="1"/>
  <c r="G49" i="1"/>
  <c r="F49" i="1"/>
  <c r="E48" i="1"/>
  <c r="G60" i="1"/>
  <c r="F60" i="1"/>
  <c r="G67" i="1"/>
  <c r="F67" i="1"/>
  <c r="G72" i="1"/>
  <c r="F72" i="1"/>
  <c r="G76" i="1"/>
  <c r="F76" i="1"/>
  <c r="G80" i="1"/>
  <c r="F80" i="1"/>
  <c r="G27" i="1"/>
  <c r="F27" i="1"/>
  <c r="G39" i="1"/>
  <c r="F39" i="1"/>
  <c r="G51" i="1"/>
  <c r="F51" i="1"/>
  <c r="G65" i="1"/>
  <c r="F65" i="1"/>
  <c r="G70" i="1"/>
  <c r="F70" i="1"/>
  <c r="G78" i="1"/>
  <c r="F78" i="1"/>
  <c r="G82" i="1"/>
  <c r="F82" i="1"/>
  <c r="G14" i="1"/>
  <c r="F14" i="1"/>
  <c r="E34" i="1"/>
  <c r="E32" i="1" s="1"/>
  <c r="G35" i="1"/>
  <c r="G34" i="1" s="1"/>
  <c r="F35" i="1"/>
  <c r="F34" i="1" s="1"/>
  <c r="F32" i="1" s="1"/>
  <c r="G46" i="1"/>
  <c r="F46" i="1"/>
  <c r="G79" i="1"/>
  <c r="F79" i="1"/>
  <c r="G24" i="1"/>
  <c r="F24" i="1"/>
  <c r="G30" i="1"/>
  <c r="F30" i="1"/>
  <c r="G43" i="1"/>
  <c r="F43" i="1"/>
  <c r="G16" i="1"/>
  <c r="F16" i="1"/>
  <c r="F25" i="1"/>
  <c r="G25" i="1"/>
  <c r="G31" i="1"/>
  <c r="F31" i="1"/>
  <c r="G38" i="1"/>
  <c r="F38" i="1"/>
  <c r="G44" i="1"/>
  <c r="F44" i="1"/>
  <c r="G50" i="1"/>
  <c r="F50" i="1"/>
  <c r="G55" i="1"/>
  <c r="G54" i="1" s="1"/>
  <c r="F55" i="1"/>
  <c r="F54" i="1" s="1"/>
  <c r="G64" i="1"/>
  <c r="F64" i="1"/>
  <c r="G69" i="1"/>
  <c r="F69" i="1"/>
  <c r="G73" i="1"/>
  <c r="F73" i="1"/>
  <c r="G77" i="1"/>
  <c r="F77" i="1"/>
  <c r="G81" i="1"/>
  <c r="F81" i="1"/>
  <c r="E26" i="1"/>
  <c r="E37" i="1"/>
  <c r="E58" i="1"/>
  <c r="E108" i="1"/>
  <c r="E92" i="1" s="1"/>
  <c r="E136" i="1"/>
  <c r="E125" i="1" s="1"/>
  <c r="E42" i="1"/>
  <c r="E47" i="1"/>
  <c r="E61" i="1"/>
  <c r="I138" i="1"/>
  <c r="H159" i="1"/>
  <c r="I159" i="1"/>
  <c r="I158" i="1"/>
  <c r="H158" i="1"/>
  <c r="I156" i="1"/>
  <c r="H156" i="1"/>
  <c r="H155" i="1"/>
  <c r="I155" i="1"/>
  <c r="I153" i="1"/>
  <c r="H153" i="1"/>
  <c r="I149" i="1"/>
  <c r="H149" i="1"/>
  <c r="H148" i="1"/>
  <c r="I148" i="1"/>
  <c r="I147" i="1"/>
  <c r="H147" i="1"/>
  <c r="I146" i="1"/>
  <c r="H146" i="1"/>
  <c r="H145" i="1"/>
  <c r="I145" i="1"/>
  <c r="I144" i="1"/>
  <c r="H144" i="1"/>
  <c r="I143" i="1"/>
  <c r="H143" i="1"/>
  <c r="I142" i="1"/>
  <c r="H142" i="1"/>
  <c r="H141" i="1"/>
  <c r="I141" i="1"/>
  <c r="I140" i="1"/>
  <c r="H140" i="1"/>
  <c r="I139" i="1"/>
  <c r="H139" i="1"/>
  <c r="H138" i="1"/>
  <c r="I137" i="1"/>
  <c r="H137" i="1"/>
  <c r="I133" i="1"/>
  <c r="H133" i="1"/>
  <c r="I132" i="1"/>
  <c r="H132" i="1"/>
  <c r="I131" i="1"/>
  <c r="H131" i="1"/>
  <c r="I130" i="1"/>
  <c r="H130" i="1"/>
  <c r="H129" i="1"/>
  <c r="I129" i="1"/>
  <c r="H128" i="1"/>
  <c r="I128" i="1"/>
  <c r="H115" i="1"/>
  <c r="I115" i="1"/>
  <c r="I113" i="1"/>
  <c r="H113" i="1"/>
  <c r="I100" i="1"/>
  <c r="I96" i="1"/>
  <c r="H100" i="1"/>
  <c r="H96" i="1"/>
  <c r="I95" i="1"/>
  <c r="H95" i="1"/>
  <c r="I94" i="1"/>
  <c r="H94" i="1"/>
  <c r="I89" i="1"/>
  <c r="H89" i="1"/>
  <c r="H64" i="1"/>
  <c r="I64" i="1"/>
  <c r="H65" i="1"/>
  <c r="I65" i="1"/>
  <c r="H66" i="1"/>
  <c r="I66" i="1"/>
  <c r="H67" i="1"/>
  <c r="I67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59" i="1"/>
  <c r="I59" i="1"/>
  <c r="H60" i="1"/>
  <c r="I60" i="1"/>
  <c r="I57" i="1"/>
  <c r="H57" i="1"/>
  <c r="I55" i="1"/>
  <c r="H55" i="1"/>
  <c r="H49" i="1"/>
  <c r="I49" i="1"/>
  <c r="H50" i="1"/>
  <c r="I50" i="1"/>
  <c r="H51" i="1"/>
  <c r="I51" i="1"/>
  <c r="H52" i="1"/>
  <c r="I52" i="1"/>
  <c r="I43" i="1"/>
  <c r="H43" i="1"/>
  <c r="H44" i="1"/>
  <c r="I44" i="1"/>
  <c r="H45" i="1"/>
  <c r="I45" i="1"/>
  <c r="H46" i="1"/>
  <c r="I46" i="1"/>
  <c r="I38" i="1"/>
  <c r="H39" i="1"/>
  <c r="I39" i="1"/>
  <c r="H40" i="1"/>
  <c r="I40" i="1"/>
  <c r="H38" i="1"/>
  <c r="H35" i="1"/>
  <c r="I35" i="1"/>
  <c r="H36" i="1"/>
  <c r="I36" i="1"/>
  <c r="H33" i="1"/>
  <c r="I33" i="1"/>
  <c r="I31" i="1"/>
  <c r="H31" i="1"/>
  <c r="I28" i="1"/>
  <c r="I27" i="1"/>
  <c r="H30" i="1"/>
  <c r="I30" i="1"/>
  <c r="H28" i="1"/>
  <c r="H27" i="1"/>
  <c r="I25" i="1"/>
  <c r="I24" i="1"/>
  <c r="I23" i="1"/>
  <c r="I22" i="1"/>
  <c r="H25" i="1"/>
  <c r="H24" i="1"/>
  <c r="H23" i="1"/>
  <c r="H22" i="1"/>
  <c r="I13" i="1"/>
  <c r="H14" i="1"/>
  <c r="I14" i="1"/>
  <c r="H15" i="1"/>
  <c r="I15" i="1"/>
  <c r="H16" i="1"/>
  <c r="I16" i="1"/>
  <c r="H13" i="1"/>
  <c r="F53" i="1" l="1"/>
  <c r="G32" i="1"/>
  <c r="G42" i="1"/>
  <c r="G61" i="1"/>
  <c r="G37" i="1"/>
  <c r="G48" i="1"/>
  <c r="G47" i="1" s="1"/>
  <c r="G58" i="1"/>
  <c r="E20" i="1"/>
  <c r="F21" i="1"/>
  <c r="F20" i="1" s="1"/>
  <c r="G21" i="1"/>
  <c r="G20" i="1" s="1"/>
  <c r="I11" i="1"/>
  <c r="G53" i="1"/>
  <c r="F26" i="1"/>
  <c r="H11" i="1"/>
  <c r="F61" i="1"/>
  <c r="F37" i="1"/>
  <c r="F42" i="1"/>
  <c r="G26" i="1"/>
  <c r="F48" i="1"/>
  <c r="F47" i="1" s="1"/>
  <c r="F58" i="1"/>
  <c r="E10" i="1"/>
  <c r="E9" i="1" s="1"/>
  <c r="G11" i="1"/>
  <c r="G10" i="1" s="1"/>
  <c r="F11" i="1"/>
  <c r="F10" i="1" s="1"/>
  <c r="E85" i="1"/>
  <c r="E84" i="1"/>
  <c r="K154" i="1"/>
  <c r="L154" i="1"/>
  <c r="G9" i="1" l="1"/>
  <c r="F9" i="1"/>
  <c r="E163" i="1"/>
  <c r="H86" i="1"/>
  <c r="I86" i="1"/>
  <c r="I119" i="1" l="1"/>
  <c r="H119" i="1"/>
  <c r="K125" i="1"/>
  <c r="L125" i="1"/>
  <c r="H154" i="1" l="1"/>
  <c r="I154" i="1"/>
  <c r="I108" i="1" l="1"/>
  <c r="I92" i="1" s="1"/>
  <c r="H108" i="1"/>
  <c r="H92" i="1" s="1"/>
  <c r="H152" i="1" l="1"/>
  <c r="I152" i="1"/>
  <c r="H61" i="1" l="1"/>
  <c r="I61" i="1"/>
  <c r="H10" i="1"/>
  <c r="I10" i="1"/>
  <c r="H58" i="1"/>
  <c r="I58" i="1"/>
  <c r="H42" i="1"/>
  <c r="I42" i="1"/>
  <c r="H34" i="1"/>
  <c r="H32" i="1" s="1"/>
  <c r="I34" i="1"/>
  <c r="I32" i="1" s="1"/>
  <c r="H26" i="1"/>
  <c r="I26" i="1"/>
  <c r="K86" i="1"/>
  <c r="L86" i="1"/>
  <c r="I136" i="1"/>
  <c r="I125" i="1" s="1"/>
  <c r="H56" i="1"/>
  <c r="I56" i="1"/>
  <c r="H54" i="1"/>
  <c r="I54" i="1"/>
  <c r="H37" i="1"/>
  <c r="L92" i="1"/>
  <c r="K92" i="1"/>
  <c r="H21" i="1"/>
  <c r="H20" i="1" s="1"/>
  <c r="I21" i="1"/>
  <c r="I20" i="1" s="1"/>
  <c r="I48" i="1"/>
  <c r="I47" i="1" s="1"/>
  <c r="H48" i="1"/>
  <c r="H47" i="1" s="1"/>
  <c r="I53" i="1" l="1"/>
  <c r="H53" i="1"/>
  <c r="H9" i="1" s="1"/>
  <c r="I85" i="1"/>
  <c r="I37" i="1"/>
  <c r="L84" i="1"/>
  <c r="L163" i="1" s="1"/>
  <c r="H136" i="1"/>
  <c r="H125" i="1" s="1"/>
  <c r="K84" i="1"/>
  <c r="K163" i="1" s="1"/>
  <c r="I84" i="1"/>
  <c r="I9" i="1" l="1"/>
  <c r="I163" i="1" s="1"/>
  <c r="H85" i="1"/>
  <c r="H84" i="1"/>
  <c r="H163" i="1" s="1"/>
</calcChain>
</file>

<file path=xl/sharedStrings.xml><?xml version="1.0" encoding="utf-8"?>
<sst xmlns="http://schemas.openxmlformats.org/spreadsheetml/2006/main" count="287" uniqueCount="282">
  <si>
    <t>Код доходов</t>
  </si>
  <si>
    <t xml:space="preserve">Источники </t>
  </si>
  <si>
    <t xml:space="preserve">1 01 00000 00 0000 000 </t>
  </si>
  <si>
    <t xml:space="preserve">1 01 02000 01 0000 110 </t>
  </si>
  <si>
    <t>Налог на доходы физических лиц</t>
  </si>
  <si>
    <t xml:space="preserve"> в том числе:       </t>
  </si>
  <si>
    <t>1 01 02040 01 0000 110</t>
  </si>
  <si>
    <t>1 01 02010 01 0000 110</t>
  </si>
  <si>
    <t>1 01 02030 01 0000 110</t>
  </si>
  <si>
    <t>1 05 00000 00 0000 000</t>
  </si>
  <si>
    <t>1 05 02010 02 0000 110</t>
  </si>
  <si>
    <t>1 05 03010 01 0000 110</t>
  </si>
  <si>
    <t>1 06 00000 00 0000 000</t>
  </si>
  <si>
    <t>1 08 00000 00 0000 000</t>
  </si>
  <si>
    <t>1 08 03010 01 0000 110</t>
  </si>
  <si>
    <t>1 09 00000 00 0000 000</t>
  </si>
  <si>
    <t>1 11 00000 00 0000 000</t>
  </si>
  <si>
    <t>1 14 00000 00 0000 000</t>
  </si>
  <si>
    <t>1 12 00000 00 0000 000</t>
  </si>
  <si>
    <t>1 12 01000 01 0000 120</t>
  </si>
  <si>
    <t>1 16 00000 00 0000 000</t>
  </si>
  <si>
    <t>Единый налог на вмененный доход для отдельных видов деятельности</t>
  </si>
  <si>
    <t>Единый сельскохозяйственный налог</t>
  </si>
  <si>
    <t>НАЛОГОВЫЕ, НЕНАЛОГОВЫЕ ДОХОДЫ</t>
  </si>
  <si>
    <t>1 00 00000 00 0000 000</t>
  </si>
  <si>
    <t>1 01 02020 01 0000 110</t>
  </si>
  <si>
    <t>1 13 00000 00 0000 000</t>
  </si>
  <si>
    <t>1 13 01000 00 0000 130</t>
  </si>
  <si>
    <t xml:space="preserve">Доходы от оказания платных услуг (работ) </t>
  </si>
  <si>
    <t>1 13 02000 00 0000 130</t>
  </si>
  <si>
    <t>Доходы от компенсации затрат государства</t>
  </si>
  <si>
    <t>1 12 01030 01 0000 120</t>
  </si>
  <si>
    <t>1 12 01040 01 0000 120</t>
  </si>
  <si>
    <t>Плата за размещение отходов производства и потребления</t>
  </si>
  <si>
    <t>1 12 01010 01 0000 120</t>
  </si>
  <si>
    <t>Плата за выбросы загрязняющих веществ в атмосферный воздух стационарными объектами</t>
  </si>
  <si>
    <t>1 08 07150 01 1000 110</t>
  </si>
  <si>
    <t>Государственная пошлина за выдачу разрешения на установку рекламной конструкции</t>
  </si>
  <si>
    <t>Плата за негативное воздействие на окружающую среду</t>
  </si>
  <si>
    <t>1 03 00000 00 0000 000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</si>
  <si>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</si>
  <si>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</si>
  <si>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</si>
  <si>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</si>
  <si>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</si>
  <si>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</si>
  <si>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</si>
  <si>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</si>
  <si>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</si>
  <si>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</si>
  <si>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1 16 10129 01 0000 140</t>
  </si>
  <si>
    <t>1 16 01053 01 0000 140</t>
  </si>
  <si>
    <t>1 16 01063 01 0000 140</t>
  </si>
  <si>
    <t>1 16 01073 01 0000 140</t>
  </si>
  <si>
    <t>1 16 01083 01 0000 140</t>
  </si>
  <si>
    <t>1 16 01143 01 0000 140</t>
  </si>
  <si>
    <t>1 16 01153 01 0000 140</t>
  </si>
  <si>
    <t>1 16 01193 01 0000 140</t>
  </si>
  <si>
    <t>1 16 01203 01 0000 140</t>
  </si>
  <si>
    <t>1 05 01011 01 0000 110</t>
  </si>
  <si>
    <t>1 05 01021 01 0000 110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</si>
  <si>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</si>
  <si>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2 00 00000 00 0000 000 </t>
  </si>
  <si>
    <t>2 02 00000 00 0000 000</t>
  </si>
  <si>
    <t xml:space="preserve">2 02 10000 00 0000 000 </t>
  </si>
  <si>
    <t>субсидии на комплектование книжных фондов и обеспечение информационно-техническим оборудованием библиотек</t>
  </si>
  <si>
    <t>2 02 30000 00 0000 150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</si>
  <si>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</si>
  <si>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</si>
  <si>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</si>
  <si>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субвенции на организацию и обеспечение оздоровления и отдыха детей Приморского края (за исключением организации отдыха детей в каникулярное время)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</si>
  <si>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</si>
  <si>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2 02 40000 00 0000 150</t>
  </si>
  <si>
    <t>Иные межбюджетные трансферты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</si>
  <si>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</si>
  <si>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</si>
  <si>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1 16 10123 01 0000 140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</si>
  <si>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</si>
  <si>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</si>
  <si>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</si>
  <si>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</si>
  <si>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</si>
  <si>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</si>
  <si>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</si>
  <si>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субвенции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</si>
  <si>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</si>
  <si>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субвенции на реализацию  государственных полномочий органов опеки и попечительства в отношении несовершеннолетних  </t>
  </si>
  <si>
    <t>субвенции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беременности, предоставляемых согласно гарантированному перечню услуг по погребению</t>
  </si>
  <si>
    <t>2 02 30024 14 0000 150</t>
  </si>
  <si>
    <t>2 02 35304 14 0000 150</t>
  </si>
  <si>
    <t>2 02 30029 14 0000 150</t>
  </si>
  <si>
    <t>2 02 35082 14 0000 150</t>
  </si>
  <si>
    <t>2 02 45179 14 0000 150</t>
  </si>
  <si>
    <t>2 02 45303 14 0000 150</t>
  </si>
  <si>
    <t>2 02 19999 14 0000 150</t>
  </si>
  <si>
    <t>субвенции на обеспечение жилыми помещениями детей-сирот и детей, оставшихся без попечения родителей, лиц из их числа за счет средств краевого бюджета</t>
  </si>
  <si>
    <t>2 02 35118 14 0000 150</t>
  </si>
  <si>
    <t>2 02 35120 14 0000 150</t>
  </si>
  <si>
    <t>2 02 35930 14 0000 150</t>
  </si>
  <si>
    <t>2 02 36900 14 0000 150</t>
  </si>
  <si>
    <t>субвенции на реализацию государственного полномочия в сфере транспортного обслуживания по муниципальным маршрутам в границах муниципальных образований</t>
  </si>
  <si>
    <t>2 02 39999 14 0000 150</t>
  </si>
  <si>
    <t>2 02 25098 14 0000 150</t>
  </si>
  <si>
    <t xml:space="preserve">2 02 29999 14 0000 150 </t>
  </si>
  <si>
    <t xml:space="preserve">2 02 25467 14 0000 150 </t>
  </si>
  <si>
    <t xml:space="preserve">2 02 25519 14 0000 150 </t>
  </si>
  <si>
    <t xml:space="preserve">2 02 25497 14 0000 150 </t>
  </si>
  <si>
    <t>cубсидии на приобретение и поставку спортивного инвентаря, спортивного оборудования и иного имущества для развития массового спорта</t>
  </si>
  <si>
    <t>субсидии на организацию транспортного обслуживания населения в границах муниципальных образований Приморского края</t>
  </si>
  <si>
    <t xml:space="preserve">субсидии на обеспечение граждан твердым топливом </t>
  </si>
  <si>
    <t>cубсидии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</si>
  <si>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субсидии на поддержку муниципальных программ по благоустройству территорий муниципальных образований</t>
  </si>
  <si>
    <t xml:space="preserve">2 02 20000 00 0000 000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</si>
  <si>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</si>
  <si>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</si>
  <si>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</si>
  <si>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</si>
  <si>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1 01 02130 01 0000 110</t>
  </si>
  <si>
    <t>1 01 02080 01 0000 110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</si>
  <si>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</si>
  <si>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</si>
  <si>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в связи с применением патентной системы налогообложения, зачисляемый в бюджеты муниципальных округов</t>
  </si>
  <si>
    <t>1 05 04060 02 0000 110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</si>
  <si>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</si>
  <si>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</si>
  <si>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</si>
  <si>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</si>
  <si>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</si>
  <si>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</si>
  <si>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</si>
  <si>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</si>
  <si>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1 11 05012 14 0000 120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</si>
  <si>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</si>
  <si>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</si>
  <si>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</si>
  <si>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</si>
  <si>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сбросы загрязняющих веществ в водные объекты</t>
  </si>
  <si>
    <t>1 12 05040 14 0000 120</t>
  </si>
  <si>
    <t>Плата за пользование водными объектами, находящимися в собственности муниципальных округов</t>
  </si>
  <si>
    <t xml:space="preserve">1 13 01994 14 0000 130
</t>
  </si>
  <si>
    <t>Прочие доходы от оказания платных услуг (работ) получателями средств бюджетов муниципальных округов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</si>
  <si>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</si>
  <si>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</si>
  <si>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1 13 02994 14 0000 130</t>
  </si>
  <si>
    <t>Прочие доходы от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</si>
  <si>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</si>
  <si>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</si>
  <si>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</si>
  <si>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</si>
  <si>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</si>
  <si>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</si>
  <si>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</si>
  <si>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</si>
  <si>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</si>
  <si>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</si>
  <si>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</si>
  <si>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</si>
  <si>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</si>
  <si>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</si>
  <si>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</si>
  <si>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16 07090 14 0000 140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</si>
  <si>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муниципального округа</t>
  </si>
  <si>
    <t>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</si>
  <si>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</si>
  <si>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</si>
  <si>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</si>
  <si>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</si>
  <si>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</si>
  <si>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1 17 01040 14 0000 180</t>
  </si>
  <si>
    <t>Невыясненные поступления, зачисляемые в бюджеты муниципальных округов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</si>
  <si>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</si>
  <si>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</si>
  <si>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</si>
  <si>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ЗАДОЛЖЕННОСТЬ И ПЕРЕРАСЧЕТЫ ПО ОТМЕНЕННЫМ НАЛОГАМ, СБОРАМ И ИНЫМ ОБЯЗАТЕЛЬНЫМ ПЛАТЕЖАМ</t>
  </si>
  <si>
    <t xml:space="preserve"> 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</si>
  <si>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</si>
  <si>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</si>
  <si>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</si>
  <si>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</si>
  <si>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</si>
  <si>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</si>
  <si>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</si>
  <si>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</si>
  <si>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</si>
  <si>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</si>
  <si>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</si>
  <si>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</si>
  <si>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</si>
  <si>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Прочие субсидии бюджетам муниципальных округов, в том числе:</t>
  </si>
  <si>
    <t>Субвенции бюджетам бюджетной системы Российской Федерации</t>
  </si>
  <si>
    <t>ВСЕГО ДОХОДОВ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</si>
  <si>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</si>
  <si>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</si>
  <si>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</si>
  <si>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поддержку отрасли культуры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</si>
  <si>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</si>
  <si>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</si>
  <si>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</si>
  <si>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Единая субвенция бюджетам муниципальных округов из бюджета субъекта Российской Федерации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</si>
  <si>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</si>
  <si>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</si>
  <si>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Прочие субвенции бюджетам муниципальных округов, в том числе: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</si>
  <si>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</si>
  <si>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субвенции на 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</si>
  <si>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субвенции на реализацию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</si>
  <si>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 Приморского края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</si>
  <si>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</si>
  <si>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</si>
  <si>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</si>
  <si>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2 02 25599 14 0000 150 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</si>
  <si>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</si>
  <si>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</si>
  <si>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субсидии бюджетам муниципальных округов на капитальный ремонт оздоровительных лагерей, находящихся в собственности муниципальных образований Приморского края</t>
  </si>
  <si>
    <t>2 02 15002 14 0000 150</t>
  </si>
  <si>
    <t xml:space="preserve">2 02 20077 14 0000 150 </t>
  </si>
  <si>
    <t>субсидии бюджетам муниципальных округов на проведение комплексных кадастровых работ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</si>
  <si>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</si>
  <si>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</si>
  <si>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2 07 04050 14 0000 150</t>
  </si>
  <si>
    <t>Прочие безвозмездные поступления в бюджеты муниципальных округов</t>
  </si>
  <si>
    <t>Дотации бюджетам муниципальных округов на поддержку мер по обеспечению сбалансированности бюджетов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</si>
  <si>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</si>
  <si>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2 02 49999 14 0000 150</t>
  </si>
  <si>
    <t>Прочие дотации бюджетам муниципальных округов</t>
  </si>
  <si>
    <t>1 17 14020 14 0000 150</t>
  </si>
  <si>
    <t>Средства самообложения граждан, зачисляемые в бюджеты муниципальных округов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</si>
  <si>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РФ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</si>
  <si>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РФ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</si>
  <si>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</si>
  <si>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2 02 45050 14 0000 150</t>
  </si>
  <si>
    <t>субсидии бюджетам муниципальных округов на обеспечение развития и укрепления материально-технической базы муниципальных домов культуры</t>
  </si>
  <si>
    <t>субсидии бюджетам муниципальных округов на модернизацию муниципальных библиотек</t>
  </si>
  <si>
    <t>субсидии бюджетам муниципальных округов на организацию физкультурно-спортивной работы по месту жительства</t>
  </si>
  <si>
    <t>cубсидии на приобретение подвижного состава пассажирского транспорта общего пользования</t>
  </si>
  <si>
    <t>субсидии бюджетам муниципальных округов на мероприятия по энергосбережению и повышению энергетической эффективности систем коммунальной инфраструктуры Приморского края</t>
  </si>
  <si>
    <t>Прочие межбюджетные трансферты, передаваемые бюджетам муниципальных округов</t>
  </si>
  <si>
    <t>тыс.рублей</t>
  </si>
  <si>
    <t>2027 (проект)</t>
  </si>
  <si>
    <t>2026 (проект)</t>
  </si>
  <si>
    <t>2025 (проект)</t>
  </si>
  <si>
    <t xml:space="preserve">Сумма на 2025 год в сравнении с суммой за отчетный 2023 год (+/-) </t>
  </si>
  <si>
    <t xml:space="preserve">Сумма на 2025 год в сравнении с суммой за ожидаемый 2024 год (+/-) </t>
  </si>
  <si>
    <t>2024 (ожидаемое исполнение)</t>
  </si>
  <si>
    <t>2023 (фактическое исполнение)</t>
  </si>
  <si>
    <t xml:space="preserve"> в сравнении с ожидаемым исполнением за текущий финансовый год и отчетом за отчетный финансовый год</t>
  </si>
  <si>
    <t xml:space="preserve">Сведения о доходах бюджета Черниговского муниципального округа по видам доходов на 2025 год и плановый период 2025 и 2026 годов </t>
  </si>
  <si>
    <t xml:space="preserve"> Дотации бюджетам муниципальных районов на поддержку мер по обеспечению сбалансированности бюджетов</t>
  </si>
  <si>
    <t>Прочие дотации бюджетам муниципальных районов</t>
  </si>
  <si>
    <t>2 02 15002 05 0000 100</t>
  </si>
  <si>
    <t>2 02 19999 05 0000 100</t>
  </si>
  <si>
    <t>Субсидии бюджетам муниципальных районов на развитие сети учреждений культурно-досугового типа</t>
  </si>
  <si>
    <t>2 02 25513 05 0000 100</t>
  </si>
  <si>
    <t>Субсидии бюджетам муниципальных районов на реконструкцию и капитальный ремонт региональных и муниципальных музеев</t>
  </si>
  <si>
    <t>2 02 25597 05 0000 100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</si>
  <si>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</si>
  <si>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>2 02 29999 05 0000 100</t>
  </si>
  <si>
    <t xml:space="preserve"> Прочие субсидии бюджетам муниципальных районов</t>
  </si>
  <si>
    <t>2 02 39999 05 0000 150</t>
  </si>
  <si>
    <t>Прочие субвенции бюджетам муниципальных районов</t>
  </si>
  <si>
    <t>Прочие безвозмездные поступления в бюджеты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</si>
  <si>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</si>
  <si>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2 19 60010 05 0000 100</t>
  </si>
  <si>
    <t>2 19 00000 00 0000 000</t>
  </si>
  <si>
    <t>2 07 05030 05 0000 100</t>
  </si>
  <si>
    <t>ВОЗВРАТ ОСТАТКОВ СУБСИДИЙ, СУБВЕНЦИЙ И ИНЫХ МЕЖБЮДЖЕТНЫХ ТРАНСФЕРТОВ, ИМЕЮЩИХ ЦЕЛЕВОЕ НАЗНАЧЕНИЕ, ПРОШЛЫХ ЛЕТ</t>
  </si>
  <si>
    <t>2 02 25750 05 0000 100</t>
  </si>
  <si>
    <t>2 02 15002 14 0000 100</t>
  </si>
  <si>
    <t>1 01 02140 01 0000 110</t>
  </si>
  <si>
    <t>Налог на доходы физических лиц в отношении доходов от долевого участия в организации, полученных физическим лицом-налоговым резидентом РФ в виде дивидендов (в части суммы налога, не превышающей 650 000 рублей)</t>
  </si>
  <si>
    <t>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</si>
  <si>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Резервный фонд Правительства Приморского края по ликвидации чрезвычайных ситуаций природного и техногенного характера</t>
  </si>
  <si>
    <t>субсидии бюджетам муниципальных образований Приморского края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</si>
  <si>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бюджетам муниципальных образований Приморского края на капитальный ремонт зданий муниципальных общеобразовательных учреждений</t>
  </si>
  <si>
    <t>2 02 02999 05 0000 100</t>
  </si>
  <si>
    <t>Субсидии на реализацию проектов инициативного бюджетирования по направлению "Твой проект"</t>
  </si>
  <si>
    <t>Субсидии бюджетам муниципальных образований на строительство, реконструкцию, ремонт объектов культуры (в т.ч. Проектно-изыскательские  работы), находящихся в муниципальной собственности, и приобретение объектов культуры для муниципальных нужд)</t>
  </si>
  <si>
    <t>Субвенции бюджетам муниципальных районов на государственную регистрацию актов гражданского состояния за счет средств краевого бюджета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</si>
  <si>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</si>
  <si>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2 02 30024 05 0000 150</t>
  </si>
  <si>
    <t>субвенции бюджетам муниципальных образований ПК на осуществление государственных полномочий  по расчету и предоставлению дотаций на выравнивания бюджетной обеспеченности бюджетам поселений, входящих в их состав</t>
  </si>
  <si>
    <t>Субвенции бюджетам муниципальных районов на выполнение передаваемых полномочий субъектов РФ</t>
  </si>
  <si>
    <t>Реализация проектов инициативного бюджетирования по направлению "Молодежный бюджет"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</si>
</sst>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00000"/>
  </numFmts>
  <fonts count="32" x14ac:knownFonts="1">
    <font>
      <sz val="10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9"/>
      <color rgb="FF000000"/>
      <name val="Cambria"/>
      <family val="1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49" fontId="11" fillId="0" borderId="2">
      <alignment horizontal="left" vertical="center" wrapText="1" indent="1"/>
    </xf>
    <xf numFmtId="1" fontId="11" fillId="0" borderId="3">
      <alignment horizontal="center" vertical="center" shrinkToFi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9" borderId="4" applyNumberFormat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10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4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4" fillId="13" borderId="11" applyNumberFormat="0" applyFont="0" applyAlignment="0" applyProtection="0"/>
    <xf numFmtId="0" fontId="4" fillId="13" borderId="11" applyNumberFormat="0" applyFont="0" applyAlignment="0" applyProtection="0"/>
    <xf numFmtId="0" fontId="4" fillId="13" borderId="11" applyNumberFormat="0" applyFont="0" applyAlignment="0" applyProtection="0"/>
    <xf numFmtId="0" fontId="4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9" fillId="13" borderId="11" applyNumberFormat="0" applyFont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4" borderId="0" applyNumberFormat="0" applyBorder="0" applyAlignment="0" applyProtection="0"/>
  </cellStyleXfs>
  <cellXfs count="11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1" fontId="29" fillId="0" borderId="1" xfId="2" applyNumberFormat="1" applyFont="1" applyFill="1" applyBorder="1" applyProtection="1">
      <alignment horizontal="center" vertical="center" shrinkToFit="1"/>
    </xf>
    <xf numFmtId="4" fontId="2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4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4" fontId="28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justify" vertical="center" wrapText="1"/>
    </xf>
    <xf numFmtId="0" fontId="6" fillId="19" borderId="1" xfId="0" applyFont="1" applyFill="1" applyBorder="1" applyAlignment="1">
      <alignment horizontal="justify" vertical="center" wrapText="1"/>
    </xf>
    <xf numFmtId="0" fontId="2" fillId="1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49" fontId="29" fillId="0" borderId="1" xfId="2" applyNumberFormat="1" applyFont="1" applyFill="1" applyBorder="1" applyProtection="1">
      <alignment horizontal="center" vertical="center" shrinkToFit="1"/>
    </xf>
    <xf numFmtId="0" fontId="6" fillId="17" borderId="1" xfId="0" applyFont="1" applyFill="1" applyBorder="1" applyAlignment="1">
      <alignment horizontal="center" vertical="center"/>
    </xf>
    <xf numFmtId="0" fontId="7" fillId="19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justify" vertical="center" wrapText="1"/>
    </xf>
    <xf numFmtId="49" fontId="29" fillId="0" borderId="1" xfId="1" applyFont="1" applyFill="1" applyBorder="1" applyAlignment="1" applyProtection="1">
      <alignment horizontal="justify" vertical="center" wrapText="1"/>
    </xf>
    <xf numFmtId="0" fontId="6" fillId="16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horizontal="justify" wrapText="1"/>
    </xf>
    <xf numFmtId="0" fontId="27" fillId="0" borderId="1" xfId="0" applyNumberFormat="1" applyFont="1" applyBorder="1" applyAlignment="1">
      <alignment horizontal="justify" wrapText="1"/>
    </xf>
    <xf numFmtId="2" fontId="2" fillId="0" borderId="1" xfId="0" applyNumberFormat="1" applyFont="1" applyFill="1" applyBorder="1" applyAlignment="1">
      <alignment horizontal="justify" wrapText="1"/>
    </xf>
    <xf numFmtId="0" fontId="2" fillId="19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justify" wrapText="1"/>
    </xf>
    <xf numFmtId="0" fontId="2" fillId="17" borderId="1" xfId="0" applyFont="1" applyFill="1" applyBorder="1" applyAlignment="1">
      <alignment horizontal="justify" vertical="center" wrapText="1"/>
    </xf>
    <xf numFmtId="0" fontId="2" fillId="19" borderId="1" xfId="0" applyFont="1" applyFill="1" applyBorder="1" applyAlignment="1">
      <alignment horizontal="justify" wrapText="1"/>
    </xf>
    <xf numFmtId="49" fontId="29" fillId="0" borderId="1" xfId="1" applyFont="1" applyFill="1" applyBorder="1" applyAlignment="1" applyProtection="1">
      <alignment horizontal="justify" wrapText="1"/>
    </xf>
    <xf numFmtId="49" fontId="29" fillId="0" borderId="1" xfId="1" applyFont="1" applyFill="1" applyBorder="1" applyAlignment="1" applyProtection="1">
      <alignment horizontal="justify" vertical="top" wrapText="1"/>
    </xf>
    <xf numFmtId="0" fontId="6" fillId="17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49" fontId="2" fillId="19" borderId="1" xfId="0" applyNumberFormat="1" applyFont="1" applyFill="1" applyBorder="1" applyAlignment="1">
      <alignment horizontal="justify" vertical="center" wrapText="1"/>
    </xf>
    <xf numFmtId="4" fontId="6" fillId="16" borderId="1" xfId="0" applyNumberFormat="1" applyFont="1" applyFill="1" applyBorder="1" applyAlignment="1">
      <alignment horizontal="center" vertical="center" wrapText="1"/>
    </xf>
    <xf numFmtId="4" fontId="6" fillId="19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2" fillId="19" borderId="1" xfId="0" applyNumberFormat="1" applyFont="1" applyFill="1" applyBorder="1" applyAlignment="1">
      <alignment horizontal="center" vertical="center" wrapText="1"/>
    </xf>
    <xf numFmtId="4" fontId="2" fillId="17" borderId="1" xfId="0" applyNumberFormat="1" applyFont="1" applyFill="1" applyBorder="1" applyAlignment="1">
      <alignment horizontal="center" vertical="center" wrapText="1"/>
    </xf>
    <xf numFmtId="4" fontId="7" fillId="19" borderId="1" xfId="0" applyNumberFormat="1" applyFont="1" applyFill="1" applyBorder="1" applyAlignment="1">
      <alignment horizontal="center" vertical="center" wrapText="1"/>
    </xf>
    <xf numFmtId="4" fontId="6" fillId="17" borderId="1" xfId="0" applyNumberFormat="1" applyFont="1" applyFill="1" applyBorder="1" applyAlignment="1">
      <alignment horizontal="center" vertical="center" wrapText="1"/>
    </xf>
    <xf numFmtId="4" fontId="5" fillId="19" borderId="1" xfId="0" applyNumberFormat="1" applyFont="1" applyFill="1" applyBorder="1" applyAlignment="1">
      <alignment horizontal="center" vertical="center" wrapText="1"/>
    </xf>
    <xf numFmtId="4" fontId="6" fillId="18" borderId="1" xfId="0" applyNumberFormat="1" applyFont="1" applyFill="1" applyBorder="1" applyAlignment="1">
      <alignment horizontal="center" vertical="center" wrapText="1"/>
    </xf>
    <xf numFmtId="165" fontId="29" fillId="0" borderId="1" xfId="1" applyNumberFormat="1" applyFont="1" applyFill="1" applyBorder="1" applyAlignment="1" applyProtection="1">
      <alignment horizontal="justify" vertical="center" wrapText="1"/>
    </xf>
    <xf numFmtId="0" fontId="2" fillId="17" borderId="1" xfId="0" applyFont="1" applyFill="1" applyBorder="1" applyAlignment="1">
      <alignment horizontal="justify" wrapText="1"/>
    </xf>
    <xf numFmtId="49" fontId="2" fillId="17" borderId="1" xfId="0" applyNumberFormat="1" applyFont="1" applyFill="1" applyBorder="1" applyAlignment="1">
      <alignment horizontal="justify" vertical="center" wrapText="1"/>
    </xf>
    <xf numFmtId="4" fontId="2" fillId="17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17" borderId="1" xfId="0" applyNumberFormat="1" applyFont="1" applyFill="1" applyBorder="1" applyAlignment="1">
      <alignment horizontal="center" vertical="center" wrapText="1"/>
    </xf>
    <xf numFmtId="3" fontId="6" fillId="19" borderId="1" xfId="0" applyNumberFormat="1" applyFont="1" applyFill="1" applyBorder="1" applyAlignment="1">
      <alignment horizontal="center" vertical="center" wrapText="1"/>
    </xf>
    <xf numFmtId="4" fontId="2" fillId="19" borderId="0" xfId="0" applyNumberFormat="1" applyFont="1" applyFill="1" applyAlignment="1">
      <alignment vertical="center"/>
    </xf>
    <xf numFmtId="0" fontId="2" fillId="19" borderId="0" xfId="0" applyFont="1" applyFill="1" applyAlignment="1">
      <alignment vertical="center"/>
    </xf>
    <xf numFmtId="4" fontId="6" fillId="19" borderId="0" xfId="0" applyNumberFormat="1" applyFont="1" applyFill="1" applyAlignment="1">
      <alignment vertical="center"/>
    </xf>
    <xf numFmtId="0" fontId="6" fillId="19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/>
    </xf>
    <xf numFmtId="4" fontId="29" fillId="0" borderId="1" xfId="1" applyNumberFormat="1" applyFont="1" applyFill="1" applyBorder="1" applyAlignment="1" applyProtection="1">
      <alignment horizontal="center" vertical="center" wrapText="1"/>
    </xf>
    <xf numFmtId="3" fontId="2" fillId="19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horizontal="center" vertical="center"/>
    </xf>
    <xf numFmtId="3" fontId="2" fillId="17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" fontId="2" fillId="17" borderId="13" xfId="0" applyNumberFormat="1" applyFont="1" applyFill="1" applyBorder="1" applyAlignment="1">
      <alignment horizontal="center" vertical="center" wrapText="1"/>
    </xf>
    <xf numFmtId="3" fontId="2" fillId="17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4" fontId="2" fillId="17" borderId="14" xfId="0" applyNumberFormat="1" applyFont="1" applyFill="1" applyBorder="1" applyAlignment="1">
      <alignment horizontal="center" vertical="center" wrapText="1"/>
    </xf>
    <xf numFmtId="0" fontId="2" fillId="19" borderId="14" xfId="0" applyFont="1" applyFill="1" applyBorder="1" applyAlignment="1">
      <alignment horizontal="center" vertical="center"/>
    </xf>
    <xf numFmtId="0" fontId="2" fillId="19" borderId="14" xfId="0" applyFont="1" applyFill="1" applyBorder="1" applyAlignment="1">
      <alignment horizontal="justify" vertical="center" wrapText="1"/>
    </xf>
    <xf numFmtId="4" fontId="2" fillId="19" borderId="14" xfId="0" applyNumberFormat="1" applyFont="1" applyFill="1" applyBorder="1" applyAlignment="1">
      <alignment horizontal="center" vertical="center" wrapText="1"/>
    </xf>
    <xf numFmtId="4" fontId="5" fillId="19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6" fillId="19" borderId="1" xfId="0" applyNumberFormat="1" applyFont="1" applyFill="1" applyBorder="1" applyAlignment="1">
      <alignment horizontal="justify" vertical="center" wrapText="1"/>
    </xf>
    <xf numFmtId="4" fontId="6" fillId="19" borderId="0" xfId="0" applyNumberFormat="1" applyFont="1" applyFill="1" applyAlignment="1">
      <alignment vertical="center" wrapText="1"/>
    </xf>
    <xf numFmtId="0" fontId="6" fillId="19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4" fontId="30" fillId="0" borderId="13" xfId="0" applyNumberFormat="1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center" vertical="center" wrapText="1"/>
    </xf>
    <xf numFmtId="4" fontId="31" fillId="0" borderId="14" xfId="0" applyNumberFormat="1" applyFont="1" applyBorder="1" applyAlignment="1">
      <alignment horizontal="center" vertical="center" wrapText="1"/>
    </xf>
    <xf numFmtId="4" fontId="30" fillId="0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xl29" xfId="1" xr:uid="{00000000-0005-0000-0000-000000000000}"/>
    <cellStyle name="xl40" xfId="2" xr:uid="{00000000-0005-0000-0000-000001000000}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Плохой" xfId="20" builtinId="27" customBuiltin="1"/>
    <cellStyle name="Пояснение" xfId="21" builtinId="53" customBuiltin="1"/>
    <cellStyle name="Примечание 10" xfId="22" xr:uid="{00000000-0005-0000-0000-000016000000}"/>
    <cellStyle name="Примечание 11" xfId="23" xr:uid="{00000000-0005-0000-0000-000017000000}"/>
    <cellStyle name="Примечание 12" xfId="24" xr:uid="{00000000-0005-0000-0000-000018000000}"/>
    <cellStyle name="Примечание 13" xfId="25" xr:uid="{00000000-0005-0000-0000-000019000000}"/>
    <cellStyle name="Примечание 14" xfId="26" xr:uid="{00000000-0005-0000-0000-00001A000000}"/>
    <cellStyle name="Примечание 15" xfId="27" xr:uid="{00000000-0005-0000-0000-00001B000000}"/>
    <cellStyle name="Примечание 16" xfId="28" xr:uid="{00000000-0005-0000-0000-00001C000000}"/>
    <cellStyle name="Примечание 17" xfId="29" xr:uid="{00000000-0005-0000-0000-00001D000000}"/>
    <cellStyle name="Примечание 18" xfId="30" xr:uid="{00000000-0005-0000-0000-00001E000000}"/>
    <cellStyle name="Примечание 19" xfId="31" xr:uid="{00000000-0005-0000-0000-00001F000000}"/>
    <cellStyle name="Примечание 2" xfId="32" xr:uid="{00000000-0005-0000-0000-000020000000}"/>
    <cellStyle name="Примечание 20" xfId="33" xr:uid="{00000000-0005-0000-0000-000021000000}"/>
    <cellStyle name="Примечание 21" xfId="34" xr:uid="{00000000-0005-0000-0000-000022000000}"/>
    <cellStyle name="Примечание 22" xfId="35" xr:uid="{00000000-0005-0000-0000-000023000000}"/>
    <cellStyle name="Примечание 23" xfId="36" xr:uid="{00000000-0005-0000-0000-000024000000}"/>
    <cellStyle name="Примечание 24" xfId="37" xr:uid="{00000000-0005-0000-0000-000025000000}"/>
    <cellStyle name="Примечание 25" xfId="38" xr:uid="{00000000-0005-0000-0000-000026000000}"/>
    <cellStyle name="Примечание 3" xfId="39" xr:uid="{00000000-0005-0000-0000-000027000000}"/>
    <cellStyle name="Примечание 4" xfId="40" xr:uid="{00000000-0005-0000-0000-000028000000}"/>
    <cellStyle name="Примечание 5" xfId="41" xr:uid="{00000000-0005-0000-0000-000029000000}"/>
    <cellStyle name="Примечание 6" xfId="42" xr:uid="{00000000-0005-0000-0000-00002A000000}"/>
    <cellStyle name="Примечание 7" xfId="43" xr:uid="{00000000-0005-0000-0000-00002B000000}"/>
    <cellStyle name="Примечание 8" xfId="44" xr:uid="{00000000-0005-0000-0000-00002C000000}"/>
    <cellStyle name="Примечание 9" xfId="45" xr:uid="{00000000-0005-0000-0000-00002D000000}"/>
    <cellStyle name="Связанная ячейка" xfId="46" builtinId="24" customBuiltin="1"/>
    <cellStyle name="Текст предупреждения" xfId="47" builtinId="11" customBuiltin="1"/>
    <cellStyle name="Хороший" xfId="4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63"/>
  <sheetViews>
    <sheetView tabSelected="1" view="pageBreakPreview" topLeftCell="A79" zoomScaleSheetLayoutView="100" workbookViewId="0">
      <selection activeCell="C85" sqref="C85"/>
    </sheetView>
  </sheetViews>
  <sheetFormatPr defaultColWidth="9.140625" defaultRowHeight="15" x14ac:dyDescent="0.2"/>
  <cols>
    <col min="1" max="1" width="21.42578125" style="1" customWidth="1"/>
    <col min="2" max="2" width="67" style="2" customWidth="1"/>
    <col min="3" max="3" width="13.140625" style="5" customWidth="1"/>
    <col min="4" max="4" width="13.28515625" style="5" customWidth="1"/>
    <col min="5" max="5" width="13.85546875" style="5" customWidth="1"/>
    <col min="6" max="6" width="12.85546875" style="5" customWidth="1"/>
    <col min="7" max="7" width="12" style="5" customWidth="1"/>
    <col min="8" max="9" width="11.28515625" style="77" customWidth="1"/>
    <col min="10" max="10" width="13.42578125" style="2" customWidth="1"/>
    <col min="11" max="11" width="13" style="2" customWidth="1"/>
    <col min="12" max="12" width="13.85546875" style="2" customWidth="1"/>
    <col min="13" max="16384" width="9.140625" style="2"/>
  </cols>
  <sheetData>
    <row r="1" spans="1:10" hidden="1" x14ac:dyDescent="0.2"/>
    <row r="2" spans="1:10" ht="12.75" x14ac:dyDescent="0.2">
      <c r="A2" s="20"/>
    </row>
    <row r="3" spans="1:10" ht="14.25" x14ac:dyDescent="0.2">
      <c r="A3" s="5"/>
      <c r="B3" s="102" t="s">
        <v>245</v>
      </c>
      <c r="C3" s="102"/>
      <c r="D3" s="102"/>
      <c r="E3" s="102"/>
      <c r="F3" s="102"/>
      <c r="G3" s="102"/>
      <c r="H3" s="102"/>
    </row>
    <row r="4" spans="1:10" ht="18" customHeight="1" x14ac:dyDescent="0.2">
      <c r="A4" s="102" t="s">
        <v>244</v>
      </c>
      <c r="B4" s="102"/>
      <c r="C4" s="102"/>
      <c r="D4" s="102"/>
      <c r="E4" s="102"/>
      <c r="F4" s="102"/>
      <c r="G4" s="102"/>
      <c r="H4" s="102"/>
      <c r="I4" s="102"/>
    </row>
    <row r="5" spans="1:10" ht="16.5" customHeight="1" x14ac:dyDescent="0.2">
      <c r="A5" s="2"/>
      <c r="B5" s="28"/>
      <c r="C5" s="28"/>
      <c r="D5" s="28"/>
      <c r="E5" s="28"/>
      <c r="F5" s="28"/>
      <c r="G5" s="28"/>
      <c r="H5" s="78"/>
      <c r="I5" s="79" t="s">
        <v>236</v>
      </c>
    </row>
    <row r="6" spans="1:10" ht="15.75" customHeight="1" x14ac:dyDescent="0.2">
      <c r="A6" s="108" t="s">
        <v>0</v>
      </c>
      <c r="B6" s="108" t="s">
        <v>1</v>
      </c>
      <c r="C6" s="103" t="s">
        <v>243</v>
      </c>
      <c r="D6" s="103" t="s">
        <v>242</v>
      </c>
      <c r="E6" s="106" t="s">
        <v>239</v>
      </c>
      <c r="F6" s="103" t="s">
        <v>240</v>
      </c>
      <c r="G6" s="103" t="s">
        <v>241</v>
      </c>
      <c r="H6" s="109" t="s">
        <v>238</v>
      </c>
      <c r="I6" s="109" t="s">
        <v>237</v>
      </c>
    </row>
    <row r="7" spans="1:10" ht="64.150000000000006" customHeight="1" x14ac:dyDescent="0.2">
      <c r="A7" s="108"/>
      <c r="B7" s="108"/>
      <c r="C7" s="104"/>
      <c r="D7" s="105"/>
      <c r="E7" s="107"/>
      <c r="F7" s="105"/>
      <c r="G7" s="105"/>
      <c r="H7" s="109"/>
      <c r="I7" s="109"/>
    </row>
    <row r="8" spans="1:10" ht="12.75" customHeight="1" x14ac:dyDescent="0.2">
      <c r="A8" s="7">
        <v>1</v>
      </c>
      <c r="B8" s="21">
        <v>2</v>
      </c>
      <c r="C8" s="21"/>
      <c r="D8" s="21"/>
      <c r="E8" s="21"/>
      <c r="F8" s="21"/>
      <c r="G8" s="21"/>
      <c r="H8" s="6">
        <v>4</v>
      </c>
      <c r="I8" s="6">
        <v>5</v>
      </c>
    </row>
    <row r="9" spans="1:10" ht="21" customHeight="1" x14ac:dyDescent="0.2">
      <c r="A9" s="29" t="s">
        <v>24</v>
      </c>
      <c r="B9" s="41" t="s">
        <v>23</v>
      </c>
      <c r="C9" s="56">
        <f t="shared" ref="C9:D9" si="0">C10+C26+C32+C37+C41+C42+C53+C58+C47+C61+C83+C20+C82</f>
        <v>637973</v>
      </c>
      <c r="D9" s="56">
        <f t="shared" si="0"/>
        <v>746596.05</v>
      </c>
      <c r="E9" s="56">
        <f>E10+E26+E32+E37+E41+E42+E53+E58+E47+E61+E83+E20+E82</f>
        <v>771789</v>
      </c>
      <c r="F9" s="56">
        <f t="shared" ref="F9:G9" si="1">F10+F26+F32+F37+F41+F42+F53+F58+F47+F61+F83+F20+F82</f>
        <v>133815</v>
      </c>
      <c r="G9" s="56">
        <f t="shared" si="1"/>
        <v>25192.95</v>
      </c>
      <c r="H9" s="56">
        <f>H10+H26+H32+H37+H41+H42+H53+H58+H47+H61+H83+H20</f>
        <v>807262</v>
      </c>
      <c r="I9" s="56">
        <f>I10+I26+I32+I37+I41+I42+I53+I58+I47+I61+I83+I20</f>
        <v>843940</v>
      </c>
      <c r="J9" s="14"/>
    </row>
    <row r="10" spans="1:10" ht="12.75" x14ac:dyDescent="0.2">
      <c r="A10" s="26" t="s">
        <v>2</v>
      </c>
      <c r="B10" s="24" t="s">
        <v>174</v>
      </c>
      <c r="C10" s="57">
        <f t="shared" ref="C10:D10" si="2">C11</f>
        <v>589248.1</v>
      </c>
      <c r="D10" s="57">
        <f t="shared" si="2"/>
        <v>636532</v>
      </c>
      <c r="E10" s="57">
        <f>E11</f>
        <v>665298</v>
      </c>
      <c r="F10" s="57">
        <f t="shared" ref="F10:G10" si="3">F11</f>
        <v>76049.900000000023</v>
      </c>
      <c r="G10" s="57">
        <f t="shared" si="3"/>
        <v>28766</v>
      </c>
      <c r="H10" s="57">
        <f>H11</f>
        <v>698563</v>
      </c>
      <c r="I10" s="57">
        <f>I11</f>
        <v>733491</v>
      </c>
    </row>
    <row r="11" spans="1:10" ht="12.75" x14ac:dyDescent="0.2">
      <c r="A11" s="7" t="s">
        <v>3</v>
      </c>
      <c r="B11" s="30" t="s">
        <v>4</v>
      </c>
      <c r="C11" s="31">
        <f>SUM(C13:C19)</f>
        <v>589248.1</v>
      </c>
      <c r="D11" s="31">
        <f t="shared" ref="D11:E11" si="4">SUM(D13:D19)</f>
        <v>636532</v>
      </c>
      <c r="E11" s="31">
        <f t="shared" si="4"/>
        <v>665298</v>
      </c>
      <c r="F11" s="31">
        <f>E11-C11</f>
        <v>76049.900000000023</v>
      </c>
      <c r="G11" s="31">
        <f>E11-D11</f>
        <v>28766</v>
      </c>
      <c r="H11" s="31">
        <f>SUM(H13:H19)</f>
        <v>698563</v>
      </c>
      <c r="I11" s="31">
        <f>SUM(I13:I19)</f>
        <v>733491</v>
      </c>
      <c r="J11" s="12"/>
    </row>
    <row r="12" spans="1:10" ht="12.75" x14ac:dyDescent="0.2">
      <c r="A12" s="7"/>
      <c r="B12" s="30" t="s">
        <v>5</v>
      </c>
      <c r="C12" s="31"/>
      <c r="D12" s="31"/>
      <c r="E12" s="31"/>
      <c r="F12" s="31"/>
      <c r="G12" s="31"/>
      <c r="H12" s="31"/>
      <c r="I12" s="31"/>
      <c r="J12" s="12"/>
    </row>
    <row r="13" spans="1:10" ht="65.25" customHeight="1" x14ac:dyDescent="0.2">
      <c r="A13" s="7" t="s">
        <v>7</v>
      </c>
      <c r="B13" s="42" t="s">
        <v>113</v>
      </c>
      <c r="C13" s="31">
        <v>578600.54</v>
      </c>
      <c r="D13" s="31">
        <v>630482</v>
      </c>
      <c r="E13" s="31">
        <f>(660098000/1000)</f>
        <v>660098</v>
      </c>
      <c r="F13" s="31">
        <f t="shared" ref="F13:F16" si="5">E13-C13</f>
        <v>81497.459999999963</v>
      </c>
      <c r="G13" s="31">
        <f t="shared" ref="G13:G16" si="6">E13-D13</f>
        <v>29616</v>
      </c>
      <c r="H13" s="31">
        <f>(693363000/1000)</f>
        <v>693363</v>
      </c>
      <c r="I13" s="31">
        <f>(728291000/1000)</f>
        <v>728291</v>
      </c>
      <c r="J13" s="12"/>
    </row>
    <row r="14" spans="1:10" ht="76.5" customHeight="1" x14ac:dyDescent="0.2">
      <c r="A14" s="7" t="s">
        <v>25</v>
      </c>
      <c r="B14" s="42" t="s">
        <v>226</v>
      </c>
      <c r="C14" s="31">
        <v>1395.31</v>
      </c>
      <c r="D14" s="31">
        <v>1600</v>
      </c>
      <c r="E14" s="31">
        <f>(1000000/1000)</f>
        <v>1000</v>
      </c>
      <c r="F14" s="31">
        <f t="shared" si="5"/>
        <v>-395.30999999999995</v>
      </c>
      <c r="G14" s="31">
        <f t="shared" si="6"/>
        <v>-600</v>
      </c>
      <c r="H14" s="31">
        <f t="shared" ref="H14:I14" si="7">(1000000/1000)</f>
        <v>1000</v>
      </c>
      <c r="I14" s="31">
        <f t="shared" si="7"/>
        <v>1000</v>
      </c>
      <c r="J14" s="14"/>
    </row>
    <row r="15" spans="1:10" ht="29.45" customHeight="1" x14ac:dyDescent="0.2">
      <c r="A15" s="7" t="s">
        <v>8</v>
      </c>
      <c r="B15" s="30" t="s">
        <v>114</v>
      </c>
      <c r="C15" s="31">
        <v>4043.21</v>
      </c>
      <c r="D15" s="31">
        <v>4250</v>
      </c>
      <c r="E15" s="31">
        <f>(4000000/1000)</f>
        <v>4000</v>
      </c>
      <c r="F15" s="31">
        <f t="shared" si="5"/>
        <v>-43.210000000000036</v>
      </c>
      <c r="G15" s="31">
        <f t="shared" si="6"/>
        <v>-250</v>
      </c>
      <c r="H15" s="31">
        <f t="shared" ref="H15:I15" si="8">(4000000/1000)</f>
        <v>4000</v>
      </c>
      <c r="I15" s="31">
        <f t="shared" si="8"/>
        <v>4000</v>
      </c>
      <c r="J15" s="14"/>
    </row>
    <row r="16" spans="1:10" s="3" customFormat="1" ht="55.9" customHeight="1" x14ac:dyDescent="0.2">
      <c r="A16" s="21" t="s">
        <v>6</v>
      </c>
      <c r="B16" s="30" t="s">
        <v>227</v>
      </c>
      <c r="C16" s="31">
        <v>508.94</v>
      </c>
      <c r="D16" s="31">
        <v>200</v>
      </c>
      <c r="E16" s="31">
        <f>(200000/1000)</f>
        <v>200</v>
      </c>
      <c r="F16" s="31">
        <f t="shared" si="5"/>
        <v>-308.94</v>
      </c>
      <c r="G16" s="31">
        <f t="shared" si="6"/>
        <v>0</v>
      </c>
      <c r="H16" s="31">
        <f t="shared" ref="H16:I16" si="9">(200000/1000)</f>
        <v>200</v>
      </c>
      <c r="I16" s="31">
        <f t="shared" si="9"/>
        <v>200</v>
      </c>
      <c r="J16" s="16"/>
    </row>
    <row r="17" spans="1:10" s="3" customFormat="1" ht="82.5" customHeight="1" x14ac:dyDescent="0.2">
      <c r="A17" s="21" t="s">
        <v>118</v>
      </c>
      <c r="B17" s="30" t="s">
        <v>115</v>
      </c>
      <c r="C17" s="31">
        <v>4465.63</v>
      </c>
      <c r="D17" s="31">
        <v>0</v>
      </c>
      <c r="E17" s="31">
        <v>0</v>
      </c>
      <c r="F17" s="31">
        <f t="shared" ref="F17:F19" si="10">E17-C17</f>
        <v>-4465.63</v>
      </c>
      <c r="G17" s="31">
        <f t="shared" ref="G17:G19" si="11">E17-D17</f>
        <v>0</v>
      </c>
      <c r="H17" s="31">
        <v>0</v>
      </c>
      <c r="I17" s="31">
        <v>0</v>
      </c>
      <c r="J17" s="17"/>
    </row>
    <row r="18" spans="1:10" s="3" customFormat="1" ht="42.75" customHeight="1" x14ac:dyDescent="0.2">
      <c r="A18" s="21" t="s">
        <v>117</v>
      </c>
      <c r="B18" s="30" t="s">
        <v>116</v>
      </c>
      <c r="C18" s="31">
        <v>198.07</v>
      </c>
      <c r="D18" s="31">
        <v>0</v>
      </c>
      <c r="E18" s="31">
        <v>0</v>
      </c>
      <c r="F18" s="31">
        <f t="shared" si="10"/>
        <v>-198.07</v>
      </c>
      <c r="G18" s="31">
        <f t="shared" si="11"/>
        <v>0</v>
      </c>
      <c r="H18" s="31">
        <v>0</v>
      </c>
      <c r="I18" s="31">
        <v>0</v>
      </c>
      <c r="J18" s="17"/>
    </row>
    <row r="19" spans="1:10" s="3" customFormat="1" ht="48.75" customHeight="1" x14ac:dyDescent="0.2">
      <c r="A19" s="21" t="s">
        <v>267</v>
      </c>
      <c r="B19" s="30" t="s">
        <v>268</v>
      </c>
      <c r="C19" s="31">
        <v>36.4</v>
      </c>
      <c r="D19" s="31">
        <v>0</v>
      </c>
      <c r="E19" s="31">
        <v>0</v>
      </c>
      <c r="F19" s="31">
        <f t="shared" si="10"/>
        <v>-36.4</v>
      </c>
      <c r="G19" s="31">
        <f t="shared" si="11"/>
        <v>0</v>
      </c>
      <c r="H19" s="31">
        <v>0</v>
      </c>
      <c r="I19" s="31">
        <v>0</v>
      </c>
      <c r="J19" s="17"/>
    </row>
    <row r="20" spans="1:10" s="3" customFormat="1" ht="32.25" customHeight="1" x14ac:dyDescent="0.2">
      <c r="A20" s="32" t="s">
        <v>39</v>
      </c>
      <c r="B20" s="24" t="s">
        <v>175</v>
      </c>
      <c r="C20" s="57">
        <f t="shared" ref="C20:D20" si="12">C21</f>
        <v>20138.739999999998</v>
      </c>
      <c r="D20" s="57">
        <f t="shared" si="12"/>
        <v>32908</v>
      </c>
      <c r="E20" s="57">
        <f>E21</f>
        <v>34234</v>
      </c>
      <c r="F20" s="57">
        <f t="shared" ref="F20:G20" si="13">F21</f>
        <v>14095.260000000002</v>
      </c>
      <c r="G20" s="57">
        <f t="shared" si="13"/>
        <v>1326</v>
      </c>
      <c r="H20" s="57">
        <f>H21</f>
        <v>36246</v>
      </c>
      <c r="I20" s="57">
        <f>I21</f>
        <v>37898</v>
      </c>
      <c r="J20" s="17"/>
    </row>
    <row r="21" spans="1:10" s="3" customFormat="1" ht="27.6" customHeight="1" x14ac:dyDescent="0.2">
      <c r="A21" s="33" t="s">
        <v>40</v>
      </c>
      <c r="B21" s="43" t="s">
        <v>41</v>
      </c>
      <c r="C21" s="58">
        <f>SUM(C22:C25)</f>
        <v>20138.739999999998</v>
      </c>
      <c r="D21" s="58">
        <f>SUM(D22:D25)</f>
        <v>32908</v>
      </c>
      <c r="E21" s="58">
        <f>SUM(E22:E25)</f>
        <v>34234</v>
      </c>
      <c r="F21" s="58">
        <f t="shared" ref="F21" si="14">E21-C21</f>
        <v>14095.260000000002</v>
      </c>
      <c r="G21" s="58">
        <f t="shared" ref="G21" si="15">E21-D21</f>
        <v>1326</v>
      </c>
      <c r="H21" s="58">
        <f>SUM(H22:H25)</f>
        <v>36246</v>
      </c>
      <c r="I21" s="58">
        <f>SUM(I22:I25)</f>
        <v>37898</v>
      </c>
      <c r="J21" s="15"/>
    </row>
    <row r="22" spans="1:10" s="3" customFormat="1" ht="52.15" customHeight="1" x14ac:dyDescent="0.2">
      <c r="A22" s="21" t="s">
        <v>42</v>
      </c>
      <c r="B22" s="44" t="s">
        <v>45</v>
      </c>
      <c r="C22" s="80">
        <v>10434.98</v>
      </c>
      <c r="D22" s="80">
        <v>17011</v>
      </c>
      <c r="E22" s="31">
        <f>(18239000/1000)</f>
        <v>18239</v>
      </c>
      <c r="F22" s="31">
        <f t="shared" ref="F22:F25" si="16">E22-C22</f>
        <v>7804.02</v>
      </c>
      <c r="G22" s="31">
        <f t="shared" ref="G22:G25" si="17">E22-D22</f>
        <v>1228</v>
      </c>
      <c r="H22" s="31">
        <f>(19072000/1000)</f>
        <v>19072</v>
      </c>
      <c r="I22" s="31">
        <f>(19951000/1000)</f>
        <v>19951</v>
      </c>
      <c r="J22" s="15"/>
    </row>
    <row r="23" spans="1:10" s="3" customFormat="1" ht="50.45" customHeight="1" x14ac:dyDescent="0.2">
      <c r="A23" s="21" t="s">
        <v>43</v>
      </c>
      <c r="B23" s="45" t="s">
        <v>46</v>
      </c>
      <c r="C23" s="80">
        <v>54.5</v>
      </c>
      <c r="D23" s="80">
        <v>86</v>
      </c>
      <c r="E23" s="31">
        <f>(94000/1000)</f>
        <v>94</v>
      </c>
      <c r="F23" s="31">
        <f t="shared" si="16"/>
        <v>39.5</v>
      </c>
      <c r="G23" s="31">
        <f t="shared" si="17"/>
        <v>8</v>
      </c>
      <c r="H23" s="31">
        <f>(99000/1000)</f>
        <v>99</v>
      </c>
      <c r="I23" s="31">
        <f>(103000/1000)</f>
        <v>103</v>
      </c>
      <c r="J23" s="15"/>
    </row>
    <row r="24" spans="1:10" s="3" customFormat="1" ht="51.6" customHeight="1" x14ac:dyDescent="0.2">
      <c r="A24" s="21" t="s">
        <v>44</v>
      </c>
      <c r="B24" s="44" t="s">
        <v>47</v>
      </c>
      <c r="C24" s="80">
        <v>10785.37</v>
      </c>
      <c r="D24" s="80">
        <v>18063</v>
      </c>
      <c r="E24" s="31">
        <f>(18739000/1000)</f>
        <v>18739</v>
      </c>
      <c r="F24" s="31">
        <f t="shared" si="16"/>
        <v>7953.6299999999992</v>
      </c>
      <c r="G24" s="31">
        <f t="shared" si="17"/>
        <v>676</v>
      </c>
      <c r="H24" s="31">
        <f>(19990000/1000)</f>
        <v>19990</v>
      </c>
      <c r="I24" s="31">
        <f>(20870000/1000)</f>
        <v>20870</v>
      </c>
      <c r="J24" s="15"/>
    </row>
    <row r="25" spans="1:10" s="3" customFormat="1" ht="51.6" customHeight="1" x14ac:dyDescent="0.2">
      <c r="A25" s="21" t="s">
        <v>49</v>
      </c>
      <c r="B25" s="44" t="s">
        <v>48</v>
      </c>
      <c r="C25" s="80">
        <v>-1136.1099999999999</v>
      </c>
      <c r="D25" s="80">
        <v>-2252</v>
      </c>
      <c r="E25" s="31">
        <f>(-2838000/1000)</f>
        <v>-2838</v>
      </c>
      <c r="F25" s="31">
        <f t="shared" si="16"/>
        <v>-1701.89</v>
      </c>
      <c r="G25" s="31">
        <f t="shared" si="17"/>
        <v>-586</v>
      </c>
      <c r="H25" s="31">
        <f>(-2915000/1000)</f>
        <v>-2915</v>
      </c>
      <c r="I25" s="31">
        <f>(-3026000/1000)</f>
        <v>-3026</v>
      </c>
      <c r="J25" s="15"/>
    </row>
    <row r="26" spans="1:10" ht="14.25" customHeight="1" x14ac:dyDescent="0.2">
      <c r="A26" s="26" t="s">
        <v>9</v>
      </c>
      <c r="B26" s="24" t="s">
        <v>176</v>
      </c>
      <c r="C26" s="57">
        <f>SUM(C27:C31)</f>
        <v>4465.53</v>
      </c>
      <c r="D26" s="57">
        <f>SUM(D27:D31)</f>
        <v>13350</v>
      </c>
      <c r="E26" s="57">
        <f>SUM(E27:E31)</f>
        <v>13633</v>
      </c>
      <c r="F26" s="57">
        <f t="shared" ref="F26:G26" si="18">SUM(F27:F31)</f>
        <v>9167.4700000000012</v>
      </c>
      <c r="G26" s="57">
        <f t="shared" si="18"/>
        <v>283</v>
      </c>
      <c r="H26" s="57">
        <f>SUM(H27:H31)</f>
        <v>13766</v>
      </c>
      <c r="I26" s="57">
        <f>SUM(I27:I31)</f>
        <v>13800</v>
      </c>
      <c r="J26" s="12"/>
    </row>
    <row r="27" spans="1:10" ht="28.5" customHeight="1" x14ac:dyDescent="0.2">
      <c r="A27" s="7" t="s">
        <v>59</v>
      </c>
      <c r="B27" s="46" t="s">
        <v>119</v>
      </c>
      <c r="C27" s="31">
        <v>808.89</v>
      </c>
      <c r="D27" s="31">
        <v>900</v>
      </c>
      <c r="E27" s="31">
        <f>(1100000/1000)</f>
        <v>1100</v>
      </c>
      <c r="F27" s="31">
        <f t="shared" ref="F27:F31" si="19">E27-C27</f>
        <v>291.11</v>
      </c>
      <c r="G27" s="31">
        <f t="shared" ref="G27:G31" si="20">E27-D27</f>
        <v>200</v>
      </c>
      <c r="H27" s="31">
        <f>(1200000/1000)</f>
        <v>1200</v>
      </c>
      <c r="I27" s="31">
        <f>(1250000/1000)</f>
        <v>1250</v>
      </c>
      <c r="J27" s="14"/>
    </row>
    <row r="28" spans="1:10" ht="36.75" customHeight="1" x14ac:dyDescent="0.2">
      <c r="A28" s="7" t="s">
        <v>60</v>
      </c>
      <c r="B28" s="46" t="s">
        <v>120</v>
      </c>
      <c r="C28" s="31">
        <v>327.44</v>
      </c>
      <c r="D28" s="31">
        <v>350</v>
      </c>
      <c r="E28" s="31">
        <f>(583000/1000)</f>
        <v>583</v>
      </c>
      <c r="F28" s="31">
        <f t="shared" si="19"/>
        <v>255.56</v>
      </c>
      <c r="G28" s="31">
        <f t="shared" si="20"/>
        <v>233</v>
      </c>
      <c r="H28" s="31">
        <f>(516000/1000)</f>
        <v>516</v>
      </c>
      <c r="I28" s="31">
        <f>(500000/1000)</f>
        <v>500</v>
      </c>
      <c r="J28" s="14"/>
    </row>
    <row r="29" spans="1:10" ht="21.75" customHeight="1" x14ac:dyDescent="0.2">
      <c r="A29" s="7" t="s">
        <v>10</v>
      </c>
      <c r="B29" s="30" t="s">
        <v>21</v>
      </c>
      <c r="C29" s="31">
        <v>-313.01</v>
      </c>
      <c r="D29" s="31">
        <v>0</v>
      </c>
      <c r="E29" s="31">
        <v>0</v>
      </c>
      <c r="F29" s="31">
        <f t="shared" si="19"/>
        <v>313.01</v>
      </c>
      <c r="G29" s="31">
        <f t="shared" si="20"/>
        <v>0</v>
      </c>
      <c r="H29" s="31">
        <v>0</v>
      </c>
      <c r="I29" s="31">
        <v>0</v>
      </c>
    </row>
    <row r="30" spans="1:10" ht="18.75" customHeight="1" x14ac:dyDescent="0.2">
      <c r="A30" s="7" t="s">
        <v>11</v>
      </c>
      <c r="B30" s="30" t="s">
        <v>22</v>
      </c>
      <c r="C30" s="31">
        <v>464.21</v>
      </c>
      <c r="D30" s="31">
        <v>2400</v>
      </c>
      <c r="E30" s="31">
        <f>(2450000/1000)</f>
        <v>2450</v>
      </c>
      <c r="F30" s="31">
        <f t="shared" si="19"/>
        <v>1985.79</v>
      </c>
      <c r="G30" s="31">
        <f t="shared" si="20"/>
        <v>50</v>
      </c>
      <c r="H30" s="31">
        <f t="shared" ref="H30:I30" si="21">(2450000/1000)</f>
        <v>2450</v>
      </c>
      <c r="I30" s="31">
        <f t="shared" si="21"/>
        <v>2450</v>
      </c>
      <c r="J30" s="13"/>
    </row>
    <row r="31" spans="1:10" ht="28.5" customHeight="1" x14ac:dyDescent="0.2">
      <c r="A31" s="7" t="s">
        <v>122</v>
      </c>
      <c r="B31" s="42" t="s">
        <v>121</v>
      </c>
      <c r="C31" s="31">
        <v>3178</v>
      </c>
      <c r="D31" s="31">
        <v>9700</v>
      </c>
      <c r="E31" s="31">
        <f>(9500000/1000)</f>
        <v>9500</v>
      </c>
      <c r="F31" s="31">
        <f t="shared" si="19"/>
        <v>6322</v>
      </c>
      <c r="G31" s="31">
        <f t="shared" si="20"/>
        <v>-200</v>
      </c>
      <c r="H31" s="31">
        <f>(9600000/1000)</f>
        <v>9600</v>
      </c>
      <c r="I31" s="31">
        <f>(9600000/1000)</f>
        <v>9600</v>
      </c>
      <c r="J31" s="13"/>
    </row>
    <row r="32" spans="1:10" ht="17.25" customHeight="1" x14ac:dyDescent="0.2">
      <c r="A32" s="26" t="s">
        <v>12</v>
      </c>
      <c r="B32" s="24" t="s">
        <v>177</v>
      </c>
      <c r="C32" s="57">
        <f>C33+C34</f>
        <v>-42.39</v>
      </c>
      <c r="D32" s="57">
        <f>D33+D34</f>
        <v>15608</v>
      </c>
      <c r="E32" s="57">
        <f>E33+E34</f>
        <v>16109</v>
      </c>
      <c r="F32" s="57">
        <f t="shared" ref="F32:G32" si="22">F33+F34</f>
        <v>16151.39</v>
      </c>
      <c r="G32" s="57">
        <f t="shared" si="22"/>
        <v>501</v>
      </c>
      <c r="H32" s="57">
        <f>H33+H34</f>
        <v>16109</v>
      </c>
      <c r="I32" s="57">
        <f>I33+I34</f>
        <v>16109</v>
      </c>
    </row>
    <row r="33" spans="1:10" ht="28.5" customHeight="1" x14ac:dyDescent="0.2">
      <c r="A33" s="7" t="s">
        <v>123</v>
      </c>
      <c r="B33" s="30" t="s">
        <v>124</v>
      </c>
      <c r="C33" s="31">
        <v>0</v>
      </c>
      <c r="D33" s="31">
        <v>5900</v>
      </c>
      <c r="E33" s="31">
        <f>(5900000/1000)</f>
        <v>5900</v>
      </c>
      <c r="F33" s="31">
        <f t="shared" ref="F33" si="23">E33-C33</f>
        <v>5900</v>
      </c>
      <c r="G33" s="31">
        <f t="shared" ref="G33" si="24">E33-D33</f>
        <v>0</v>
      </c>
      <c r="H33" s="31">
        <f t="shared" ref="H33:I33" si="25">(5900000/1000)</f>
        <v>5900</v>
      </c>
      <c r="I33" s="31">
        <f t="shared" si="25"/>
        <v>5900</v>
      </c>
      <c r="J33" s="13"/>
    </row>
    <row r="34" spans="1:10" ht="21.75" customHeight="1" x14ac:dyDescent="0.2">
      <c r="A34" s="25" t="s">
        <v>125</v>
      </c>
      <c r="B34" s="47" t="s">
        <v>126</v>
      </c>
      <c r="C34" s="59">
        <f>C35+C36</f>
        <v>-42.39</v>
      </c>
      <c r="D34" s="59">
        <f>D35+D36</f>
        <v>9708</v>
      </c>
      <c r="E34" s="59">
        <f>SUM(E35:E36)</f>
        <v>10209</v>
      </c>
      <c r="F34" s="59">
        <f t="shared" ref="F34:G34" si="26">SUM(F35:F36)</f>
        <v>10251.39</v>
      </c>
      <c r="G34" s="59">
        <f t="shared" si="26"/>
        <v>501</v>
      </c>
      <c r="H34" s="59">
        <f>SUM(H35:H36)</f>
        <v>10209</v>
      </c>
      <c r="I34" s="59">
        <f>SUM(I35:I36)</f>
        <v>10209</v>
      </c>
    </row>
    <row r="35" spans="1:10" ht="24.75" customHeight="1" x14ac:dyDescent="0.2">
      <c r="A35" s="7" t="s">
        <v>127</v>
      </c>
      <c r="B35" s="30" t="s">
        <v>128</v>
      </c>
      <c r="C35" s="31">
        <v>-42.39</v>
      </c>
      <c r="D35" s="31">
        <v>4199</v>
      </c>
      <c r="E35" s="31">
        <f>(4700000/1000)</f>
        <v>4700</v>
      </c>
      <c r="F35" s="31">
        <f t="shared" ref="F35:F36" si="27">E35-C35</f>
        <v>4742.3900000000003</v>
      </c>
      <c r="G35" s="31">
        <f t="shared" ref="G35:G36" si="28">E35-D35</f>
        <v>501</v>
      </c>
      <c r="H35" s="31">
        <f t="shared" ref="H35:I35" si="29">(4700000/1000)</f>
        <v>4700</v>
      </c>
      <c r="I35" s="31">
        <f t="shared" si="29"/>
        <v>4700</v>
      </c>
    </row>
    <row r="36" spans="1:10" ht="24" customHeight="1" x14ac:dyDescent="0.2">
      <c r="A36" s="7" t="s">
        <v>129</v>
      </c>
      <c r="B36" s="30" t="s">
        <v>130</v>
      </c>
      <c r="C36" s="31"/>
      <c r="D36" s="31">
        <v>5509</v>
      </c>
      <c r="E36" s="31">
        <f>(5509000/1000)</f>
        <v>5509</v>
      </c>
      <c r="F36" s="31">
        <f t="shared" si="27"/>
        <v>5509</v>
      </c>
      <c r="G36" s="31">
        <f t="shared" si="28"/>
        <v>0</v>
      </c>
      <c r="H36" s="31">
        <f t="shared" ref="H36:I36" si="30">(5509000/1000)</f>
        <v>5509</v>
      </c>
      <c r="I36" s="31">
        <f t="shared" si="30"/>
        <v>5509</v>
      </c>
    </row>
    <row r="37" spans="1:10" ht="18" customHeight="1" x14ac:dyDescent="0.2">
      <c r="A37" s="26" t="s">
        <v>13</v>
      </c>
      <c r="B37" s="24" t="s">
        <v>178</v>
      </c>
      <c r="C37" s="57">
        <f>C38+C39+C40</f>
        <v>4100.71</v>
      </c>
      <c r="D37" s="57">
        <f>D38+D39+D40</f>
        <v>3825</v>
      </c>
      <c r="E37" s="57">
        <f>SUM(E38:E40)</f>
        <v>4320</v>
      </c>
      <c r="F37" s="57">
        <f t="shared" ref="F37:G37" si="31">SUM(F38:F40)</f>
        <v>219.28999999999996</v>
      </c>
      <c r="G37" s="57">
        <f t="shared" si="31"/>
        <v>495</v>
      </c>
      <c r="H37" s="57">
        <f>SUM(H38:H40)</f>
        <v>4420</v>
      </c>
      <c r="I37" s="57">
        <f>SUM(I38:I40)</f>
        <v>4520</v>
      </c>
    </row>
    <row r="38" spans="1:10" ht="39" customHeight="1" x14ac:dyDescent="0.2">
      <c r="A38" s="7" t="s">
        <v>14</v>
      </c>
      <c r="B38" s="48" t="s">
        <v>77</v>
      </c>
      <c r="C38" s="31">
        <v>4100.71</v>
      </c>
      <c r="D38" s="31">
        <v>3800</v>
      </c>
      <c r="E38" s="31">
        <f>(4300000/1000)</f>
        <v>4300</v>
      </c>
      <c r="F38" s="31">
        <f t="shared" ref="F38:F40" si="32">E38-C38</f>
        <v>199.28999999999996</v>
      </c>
      <c r="G38" s="31">
        <f t="shared" ref="G38:G40" si="33">E38-D38</f>
        <v>500</v>
      </c>
      <c r="H38" s="31">
        <f>(4400000/1000)</f>
        <v>4400</v>
      </c>
      <c r="I38" s="31">
        <f>(4500000/1000)</f>
        <v>4500</v>
      </c>
    </row>
    <row r="39" spans="1:10" ht="30" customHeight="1" x14ac:dyDescent="0.2">
      <c r="A39" s="7" t="s">
        <v>36</v>
      </c>
      <c r="B39" s="30" t="s">
        <v>37</v>
      </c>
      <c r="C39" s="31">
        <v>0</v>
      </c>
      <c r="D39" s="31">
        <v>15</v>
      </c>
      <c r="E39" s="31">
        <f>(10000/1000)</f>
        <v>10</v>
      </c>
      <c r="F39" s="31">
        <f t="shared" si="32"/>
        <v>10</v>
      </c>
      <c r="G39" s="31">
        <f t="shared" si="33"/>
        <v>-5</v>
      </c>
      <c r="H39" s="31">
        <f t="shared" ref="H39:I40" si="34">(10000/1000)</f>
        <v>10</v>
      </c>
      <c r="I39" s="31">
        <f t="shared" si="34"/>
        <v>10</v>
      </c>
    </row>
    <row r="40" spans="1:10" ht="52.5" customHeight="1" x14ac:dyDescent="0.2">
      <c r="A40" s="7" t="s">
        <v>141</v>
      </c>
      <c r="B40" s="30" t="s">
        <v>142</v>
      </c>
      <c r="C40" s="31">
        <v>0</v>
      </c>
      <c r="D40" s="31">
        <v>10</v>
      </c>
      <c r="E40" s="31">
        <f>(10000/1000)</f>
        <v>10</v>
      </c>
      <c r="F40" s="31">
        <f t="shared" si="32"/>
        <v>10</v>
      </c>
      <c r="G40" s="31">
        <f t="shared" si="33"/>
        <v>0</v>
      </c>
      <c r="H40" s="31">
        <f t="shared" si="34"/>
        <v>10</v>
      </c>
      <c r="I40" s="31">
        <f t="shared" si="34"/>
        <v>10</v>
      </c>
    </row>
    <row r="41" spans="1:10" ht="30.6" customHeight="1" x14ac:dyDescent="0.2">
      <c r="A41" s="26" t="s">
        <v>15</v>
      </c>
      <c r="B41" s="24" t="s">
        <v>173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</row>
    <row r="42" spans="1:10" ht="27.75" customHeight="1" x14ac:dyDescent="0.2">
      <c r="A42" s="26" t="s">
        <v>16</v>
      </c>
      <c r="B42" s="24" t="s">
        <v>179</v>
      </c>
      <c r="C42" s="57">
        <f>SUM(C43:C46)</f>
        <v>11670.3</v>
      </c>
      <c r="D42" s="57">
        <f>SUM(D43:D46)</f>
        <v>19029</v>
      </c>
      <c r="E42" s="57">
        <f>SUM(E43:E46)</f>
        <v>17150</v>
      </c>
      <c r="F42" s="57">
        <f t="shared" ref="F42:G42" si="35">SUM(F43:F46)</f>
        <v>5479.7000000000007</v>
      </c>
      <c r="G42" s="57">
        <f t="shared" si="35"/>
        <v>-1879</v>
      </c>
      <c r="H42" s="57">
        <f>SUM(H43:H46)</f>
        <v>17050</v>
      </c>
      <c r="I42" s="57">
        <f>SUM(I43:I46)</f>
        <v>16950</v>
      </c>
      <c r="J42" s="13"/>
    </row>
    <row r="43" spans="1:10" ht="53.25" customHeight="1" x14ac:dyDescent="0.2">
      <c r="A43" s="34" t="s">
        <v>131</v>
      </c>
      <c r="B43" s="49" t="s">
        <v>172</v>
      </c>
      <c r="C43" s="60">
        <v>5614.4</v>
      </c>
      <c r="D43" s="60">
        <v>11500</v>
      </c>
      <c r="E43" s="31">
        <f>(11300000/1000)</f>
        <v>11300</v>
      </c>
      <c r="F43" s="31">
        <f t="shared" ref="F43:F46" si="36">E43-C43</f>
        <v>5685.6</v>
      </c>
      <c r="G43" s="31">
        <f t="shared" ref="G43:G46" si="37">E43-D43</f>
        <v>-200</v>
      </c>
      <c r="H43" s="60">
        <f>(11200000/1000)</f>
        <v>11200</v>
      </c>
      <c r="I43" s="60">
        <f>(11100000/1000)</f>
        <v>11100</v>
      </c>
    </row>
    <row r="44" spans="1:10" ht="53.25" customHeight="1" x14ac:dyDescent="0.2">
      <c r="A44" s="34" t="s">
        <v>216</v>
      </c>
      <c r="B44" s="49" t="s">
        <v>217</v>
      </c>
      <c r="C44" s="60">
        <v>2072.9499999999998</v>
      </c>
      <c r="D44" s="60">
        <v>500</v>
      </c>
      <c r="E44" s="31">
        <f>(600000/1000)</f>
        <v>600</v>
      </c>
      <c r="F44" s="31">
        <f t="shared" si="36"/>
        <v>-1472.9499999999998</v>
      </c>
      <c r="G44" s="31">
        <f t="shared" si="37"/>
        <v>100</v>
      </c>
      <c r="H44" s="31">
        <f t="shared" ref="H44:I44" si="38">(600000/1000)</f>
        <v>600</v>
      </c>
      <c r="I44" s="31">
        <f t="shared" si="38"/>
        <v>600</v>
      </c>
      <c r="J44" s="13"/>
    </row>
    <row r="45" spans="1:10" ht="27.75" customHeight="1" x14ac:dyDescent="0.2">
      <c r="A45" s="7" t="s">
        <v>132</v>
      </c>
      <c r="B45" s="30" t="s">
        <v>133</v>
      </c>
      <c r="C45" s="31">
        <v>2614.33</v>
      </c>
      <c r="D45" s="31">
        <v>4429</v>
      </c>
      <c r="E45" s="31">
        <f>(3150000/1000)</f>
        <v>3150</v>
      </c>
      <c r="F45" s="31">
        <f t="shared" si="36"/>
        <v>535.67000000000007</v>
      </c>
      <c r="G45" s="31">
        <f t="shared" si="37"/>
        <v>-1279</v>
      </c>
      <c r="H45" s="31">
        <f t="shared" ref="H45:I45" si="39">(3150000/1000)</f>
        <v>3150</v>
      </c>
      <c r="I45" s="31">
        <f t="shared" si="39"/>
        <v>3150</v>
      </c>
    </row>
    <row r="46" spans="1:10" ht="48" customHeight="1" x14ac:dyDescent="0.2">
      <c r="A46" s="21" t="s">
        <v>134</v>
      </c>
      <c r="B46" s="30" t="s">
        <v>135</v>
      </c>
      <c r="C46" s="31">
        <v>1368.62</v>
      </c>
      <c r="D46" s="31">
        <v>2600</v>
      </c>
      <c r="E46" s="31">
        <f>(2100000/1000)</f>
        <v>2100</v>
      </c>
      <c r="F46" s="31">
        <f t="shared" si="36"/>
        <v>731.38000000000011</v>
      </c>
      <c r="G46" s="31">
        <f t="shared" si="37"/>
        <v>-500</v>
      </c>
      <c r="H46" s="31">
        <f t="shared" ref="H46:I46" si="40">(2100000/1000)</f>
        <v>2100</v>
      </c>
      <c r="I46" s="31">
        <f t="shared" si="40"/>
        <v>2100</v>
      </c>
    </row>
    <row r="47" spans="1:10" ht="22.9" customHeight="1" x14ac:dyDescent="0.2">
      <c r="A47" s="26" t="s">
        <v>18</v>
      </c>
      <c r="B47" s="24" t="s">
        <v>180</v>
      </c>
      <c r="C47" s="57">
        <f t="shared" ref="C47:D47" si="41">C48+C52</f>
        <v>697.1</v>
      </c>
      <c r="D47" s="57">
        <f t="shared" si="41"/>
        <v>458</v>
      </c>
      <c r="E47" s="57">
        <f>E48+E52</f>
        <v>1173</v>
      </c>
      <c r="F47" s="57">
        <f t="shared" ref="F47:G47" si="42">F48+F52</f>
        <v>475.90000000000003</v>
      </c>
      <c r="G47" s="57">
        <f t="shared" si="42"/>
        <v>715</v>
      </c>
      <c r="H47" s="57">
        <f>H48+H52</f>
        <v>1173</v>
      </c>
      <c r="I47" s="57">
        <f>I48+I52</f>
        <v>1173</v>
      </c>
    </row>
    <row r="48" spans="1:10" ht="16.5" customHeight="1" x14ac:dyDescent="0.2">
      <c r="A48" s="25" t="s">
        <v>19</v>
      </c>
      <c r="B48" s="47" t="s">
        <v>38</v>
      </c>
      <c r="C48" s="59">
        <f>SUM(C49:C51)</f>
        <v>686.02</v>
      </c>
      <c r="D48" s="59">
        <f t="shared" ref="D48:G48" si="43">SUM(D49:D51)</f>
        <v>450</v>
      </c>
      <c r="E48" s="59">
        <f t="shared" si="43"/>
        <v>1165</v>
      </c>
      <c r="F48" s="59">
        <f t="shared" si="43"/>
        <v>478.98</v>
      </c>
      <c r="G48" s="59">
        <f t="shared" si="43"/>
        <v>715</v>
      </c>
      <c r="H48" s="59">
        <f>SUM(H49:H51)</f>
        <v>1165</v>
      </c>
      <c r="I48" s="59">
        <f>SUM(I49:I51)</f>
        <v>1165</v>
      </c>
    </row>
    <row r="49" spans="1:38" ht="25.9" customHeight="1" x14ac:dyDescent="0.2">
      <c r="A49" s="7" t="s">
        <v>34</v>
      </c>
      <c r="B49" s="30" t="s">
        <v>35</v>
      </c>
      <c r="C49" s="31">
        <v>190.56</v>
      </c>
      <c r="D49" s="31">
        <v>150</v>
      </c>
      <c r="E49" s="31">
        <f>(310000/1000)</f>
        <v>310</v>
      </c>
      <c r="F49" s="31">
        <f t="shared" ref="F49:F51" si="44">E49-C49</f>
        <v>119.44</v>
      </c>
      <c r="G49" s="31">
        <f t="shared" ref="G49:G51" si="45">E49-D49</f>
        <v>160</v>
      </c>
      <c r="H49" s="31">
        <f t="shared" ref="H49:I49" si="46">(310000/1000)</f>
        <v>310</v>
      </c>
      <c r="I49" s="31">
        <f t="shared" si="46"/>
        <v>310</v>
      </c>
    </row>
    <row r="50" spans="1:38" ht="20.25" customHeight="1" x14ac:dyDescent="0.2">
      <c r="A50" s="7" t="s">
        <v>31</v>
      </c>
      <c r="B50" s="30" t="s">
        <v>136</v>
      </c>
      <c r="C50" s="31">
        <v>463.32</v>
      </c>
      <c r="D50" s="31">
        <v>250</v>
      </c>
      <c r="E50" s="31">
        <f>(820000/1000)</f>
        <v>820</v>
      </c>
      <c r="F50" s="31">
        <f t="shared" si="44"/>
        <v>356.68</v>
      </c>
      <c r="G50" s="31">
        <f t="shared" si="45"/>
        <v>570</v>
      </c>
      <c r="H50" s="31">
        <f t="shared" ref="H50:I50" si="47">(820000/1000)</f>
        <v>820</v>
      </c>
      <c r="I50" s="31">
        <f t="shared" si="47"/>
        <v>820</v>
      </c>
    </row>
    <row r="51" spans="1:38" ht="20.25" customHeight="1" x14ac:dyDescent="0.2">
      <c r="A51" s="7" t="s">
        <v>32</v>
      </c>
      <c r="B51" s="30" t="s">
        <v>33</v>
      </c>
      <c r="C51" s="31">
        <v>32.14</v>
      </c>
      <c r="D51" s="31">
        <v>50</v>
      </c>
      <c r="E51" s="31">
        <f>(35000/1000)</f>
        <v>35</v>
      </c>
      <c r="F51" s="31">
        <f t="shared" si="44"/>
        <v>2.8599999999999994</v>
      </c>
      <c r="G51" s="31">
        <f t="shared" si="45"/>
        <v>-15</v>
      </c>
      <c r="H51" s="31">
        <f t="shared" ref="H51:I51" si="48">(35000/1000)</f>
        <v>35</v>
      </c>
      <c r="I51" s="31">
        <f t="shared" si="48"/>
        <v>35</v>
      </c>
    </row>
    <row r="52" spans="1:38" ht="25.5" x14ac:dyDescent="0.2">
      <c r="A52" s="25" t="s">
        <v>137</v>
      </c>
      <c r="B52" s="50" t="s">
        <v>138</v>
      </c>
      <c r="C52" s="59">
        <v>11.08</v>
      </c>
      <c r="D52" s="59">
        <v>8</v>
      </c>
      <c r="E52" s="59">
        <f>(8000/1000)</f>
        <v>8</v>
      </c>
      <c r="F52" s="59">
        <f t="shared" ref="F52" si="49">E52-C52</f>
        <v>-3.08</v>
      </c>
      <c r="G52" s="59">
        <f t="shared" ref="G52" si="50">E52-D52</f>
        <v>0</v>
      </c>
      <c r="H52" s="59">
        <f t="shared" ref="H52:I52" si="51">(8000/1000)</f>
        <v>8</v>
      </c>
      <c r="I52" s="59">
        <f t="shared" si="51"/>
        <v>8</v>
      </c>
    </row>
    <row r="53" spans="1:38" ht="26.25" customHeight="1" x14ac:dyDescent="0.2">
      <c r="A53" s="26" t="s">
        <v>26</v>
      </c>
      <c r="B53" s="24" t="s">
        <v>181</v>
      </c>
      <c r="C53" s="57">
        <f>C54+C56</f>
        <v>1149.6200000000001</v>
      </c>
      <c r="D53" s="57">
        <f>D54+D56</f>
        <v>18860</v>
      </c>
      <c r="E53" s="57">
        <f>E54+E56</f>
        <v>18791</v>
      </c>
      <c r="F53" s="57">
        <f t="shared" ref="F53:G53" si="52">F54+F56</f>
        <v>17641.38</v>
      </c>
      <c r="G53" s="57">
        <f t="shared" si="52"/>
        <v>-69</v>
      </c>
      <c r="H53" s="57">
        <f>H54+H56</f>
        <v>18854</v>
      </c>
      <c r="I53" s="57">
        <f>I54+I56</f>
        <v>18918</v>
      </c>
    </row>
    <row r="54" spans="1:38" ht="19.5" customHeight="1" x14ac:dyDescent="0.2">
      <c r="A54" s="25" t="s">
        <v>27</v>
      </c>
      <c r="B54" s="47" t="s">
        <v>28</v>
      </c>
      <c r="C54" s="59">
        <f>C55</f>
        <v>480.68</v>
      </c>
      <c r="D54" s="59">
        <f>D55</f>
        <v>18610</v>
      </c>
      <c r="E54" s="59">
        <f>E55</f>
        <v>18610</v>
      </c>
      <c r="F54" s="59">
        <f t="shared" ref="F54:G54" si="53">F55</f>
        <v>18129.32</v>
      </c>
      <c r="G54" s="59">
        <f t="shared" si="53"/>
        <v>0</v>
      </c>
      <c r="H54" s="59">
        <f>H55</f>
        <v>18670</v>
      </c>
      <c r="I54" s="59">
        <f>I55</f>
        <v>18730</v>
      </c>
    </row>
    <row r="55" spans="1:38" ht="26.25" customHeight="1" x14ac:dyDescent="0.2">
      <c r="A55" s="21" t="s">
        <v>139</v>
      </c>
      <c r="B55" s="30" t="s">
        <v>140</v>
      </c>
      <c r="C55" s="31">
        <v>480.68</v>
      </c>
      <c r="D55" s="31">
        <v>18610</v>
      </c>
      <c r="E55" s="31">
        <f>(18610000/1000)</f>
        <v>18610</v>
      </c>
      <c r="F55" s="31">
        <f t="shared" ref="F55" si="54">E55-C55</f>
        <v>18129.32</v>
      </c>
      <c r="G55" s="31">
        <f t="shared" ref="G55" si="55">E55-D55</f>
        <v>0</v>
      </c>
      <c r="H55" s="31">
        <f>(18670000/1000)</f>
        <v>18670</v>
      </c>
      <c r="I55" s="31">
        <f>(18730000/1000)</f>
        <v>18730</v>
      </c>
    </row>
    <row r="56" spans="1:38" ht="14.25" customHeight="1" x14ac:dyDescent="0.2">
      <c r="A56" s="25" t="s">
        <v>29</v>
      </c>
      <c r="B56" s="47" t="s">
        <v>30</v>
      </c>
      <c r="C56" s="59">
        <f>C57</f>
        <v>668.94</v>
      </c>
      <c r="D56" s="59">
        <f>D57</f>
        <v>250</v>
      </c>
      <c r="E56" s="59">
        <f>E57</f>
        <v>181</v>
      </c>
      <c r="F56" s="59">
        <f t="shared" ref="F56:G56" si="56">F57</f>
        <v>-487.94000000000005</v>
      </c>
      <c r="G56" s="59">
        <f t="shared" si="56"/>
        <v>-69</v>
      </c>
      <c r="H56" s="59">
        <f>H57</f>
        <v>184</v>
      </c>
      <c r="I56" s="59">
        <f>I57</f>
        <v>188</v>
      </c>
    </row>
    <row r="57" spans="1:38" ht="19.5" customHeight="1" x14ac:dyDescent="0.2">
      <c r="A57" s="7" t="s">
        <v>143</v>
      </c>
      <c r="B57" s="30" t="s">
        <v>144</v>
      </c>
      <c r="C57" s="31">
        <v>668.94</v>
      </c>
      <c r="D57" s="31">
        <v>250</v>
      </c>
      <c r="E57" s="31">
        <f>(181000/1000)</f>
        <v>181</v>
      </c>
      <c r="F57" s="31">
        <f t="shared" ref="F57" si="57">E57-C57</f>
        <v>-487.94000000000005</v>
      </c>
      <c r="G57" s="31">
        <f t="shared" ref="G57" si="58">E57-D57</f>
        <v>-69</v>
      </c>
      <c r="H57" s="31">
        <f>(184000/1000)</f>
        <v>184</v>
      </c>
      <c r="I57" s="31">
        <f>(188000/1000)</f>
        <v>188</v>
      </c>
    </row>
    <row r="58" spans="1:38" ht="24" customHeight="1" x14ac:dyDescent="0.2">
      <c r="A58" s="26" t="s">
        <v>17</v>
      </c>
      <c r="B58" s="24" t="s">
        <v>182</v>
      </c>
      <c r="C58" s="57">
        <f>SUM(C59:C60)</f>
        <v>4173.8</v>
      </c>
      <c r="D58" s="57">
        <f>SUM(D59:D60)</f>
        <v>4181.41</v>
      </c>
      <c r="E58" s="57">
        <f>SUM(E59:E60)</f>
        <v>200</v>
      </c>
      <c r="F58" s="57">
        <f t="shared" ref="F58:G58" si="59">SUM(F59:F60)</f>
        <v>-3973.8</v>
      </c>
      <c r="G58" s="57">
        <f t="shared" si="59"/>
        <v>-3981.41</v>
      </c>
      <c r="H58" s="57">
        <f>SUM(H59:H60)</f>
        <v>200</v>
      </c>
      <c r="I58" s="57">
        <f>SUM(I59:I60)</f>
        <v>200</v>
      </c>
      <c r="J58" s="13"/>
    </row>
    <row r="59" spans="1:38" ht="69" customHeight="1" x14ac:dyDescent="0.2">
      <c r="A59" s="7" t="s">
        <v>145</v>
      </c>
      <c r="B59" s="30" t="s">
        <v>146</v>
      </c>
      <c r="C59" s="31">
        <v>924.46</v>
      </c>
      <c r="D59" s="31">
        <v>681.41</v>
      </c>
      <c r="E59" s="31">
        <f>(100000/1000)</f>
        <v>100</v>
      </c>
      <c r="F59" s="31">
        <f t="shared" ref="F59:F60" si="60">E59-C59</f>
        <v>-824.46</v>
      </c>
      <c r="G59" s="31">
        <f t="shared" ref="G59:G60" si="61">E59-D59</f>
        <v>-581.41</v>
      </c>
      <c r="H59" s="31">
        <f t="shared" ref="H59:I60" si="62">(100000/1000)</f>
        <v>100</v>
      </c>
      <c r="I59" s="31">
        <f t="shared" si="62"/>
        <v>100</v>
      </c>
    </row>
    <row r="60" spans="1:38" ht="36.75" customHeight="1" x14ac:dyDescent="0.2">
      <c r="A60" s="9" t="s">
        <v>147</v>
      </c>
      <c r="B60" s="49" t="s">
        <v>148</v>
      </c>
      <c r="C60" s="60">
        <v>3249.34</v>
      </c>
      <c r="D60" s="60">
        <v>3500</v>
      </c>
      <c r="E60" s="60">
        <f>(100000/1000)</f>
        <v>100</v>
      </c>
      <c r="F60" s="31">
        <f t="shared" si="60"/>
        <v>-3149.34</v>
      </c>
      <c r="G60" s="31">
        <f t="shared" si="61"/>
        <v>-3400</v>
      </c>
      <c r="H60" s="60">
        <f t="shared" si="62"/>
        <v>100</v>
      </c>
      <c r="I60" s="60">
        <f t="shared" si="62"/>
        <v>100</v>
      </c>
    </row>
    <row r="61" spans="1:38" s="4" customFormat="1" ht="16.5" customHeight="1" x14ac:dyDescent="0.2">
      <c r="A61" s="26" t="s">
        <v>20</v>
      </c>
      <c r="B61" s="24" t="s">
        <v>183</v>
      </c>
      <c r="C61" s="57">
        <f t="shared" ref="C61:D61" si="63">SUM(C62:C81)</f>
        <v>2372.4899999999998</v>
      </c>
      <c r="D61" s="57">
        <f t="shared" si="63"/>
        <v>1793</v>
      </c>
      <c r="E61" s="57">
        <f>SUM(E62:E81)</f>
        <v>881</v>
      </c>
      <c r="F61" s="57">
        <f t="shared" ref="F61:G61" si="64">SUM(F62:F81)</f>
        <v>-1491.49</v>
      </c>
      <c r="G61" s="57">
        <f t="shared" si="64"/>
        <v>-912</v>
      </c>
      <c r="H61" s="57">
        <f>SUM(H62:H81)</f>
        <v>881</v>
      </c>
      <c r="I61" s="57">
        <f>SUM(I62:I81)</f>
        <v>881</v>
      </c>
      <c r="J61" s="1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s="4" customFormat="1" ht="46.5" customHeight="1" x14ac:dyDescent="0.2">
      <c r="A62" s="11" t="s">
        <v>76</v>
      </c>
      <c r="B62" s="40" t="s">
        <v>61</v>
      </c>
      <c r="C62" s="81">
        <v>111.82</v>
      </c>
      <c r="D62" s="81"/>
      <c r="E62" s="10"/>
      <c r="F62" s="31">
        <f t="shared" ref="F62:F82" si="65">E62-C62</f>
        <v>-111.82</v>
      </c>
      <c r="G62" s="31">
        <f t="shared" ref="G62:G82" si="66">E62-D62</f>
        <v>0</v>
      </c>
      <c r="H62" s="10"/>
      <c r="I62" s="10"/>
      <c r="J62" s="1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s="4" customFormat="1" ht="51.75" customHeight="1" x14ac:dyDescent="0.2">
      <c r="A63" s="11" t="s">
        <v>50</v>
      </c>
      <c r="B63" s="40" t="s">
        <v>149</v>
      </c>
      <c r="C63" s="81">
        <v>0.02</v>
      </c>
      <c r="D63" s="81"/>
      <c r="E63" s="10"/>
      <c r="F63" s="31">
        <f t="shared" si="65"/>
        <v>-0.02</v>
      </c>
      <c r="G63" s="31">
        <f t="shared" si="66"/>
        <v>0</v>
      </c>
      <c r="H63" s="10"/>
      <c r="I63" s="10"/>
      <c r="J63" s="13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s="4" customFormat="1" ht="55.5" customHeight="1" x14ac:dyDescent="0.2">
      <c r="A64" s="11" t="s">
        <v>51</v>
      </c>
      <c r="B64" s="65" t="s">
        <v>150</v>
      </c>
      <c r="C64" s="81">
        <v>14.01</v>
      </c>
      <c r="D64" s="81">
        <v>19</v>
      </c>
      <c r="E64" s="31">
        <f>(20000/1000)</f>
        <v>20</v>
      </c>
      <c r="F64" s="31">
        <f t="shared" si="65"/>
        <v>5.99</v>
      </c>
      <c r="G64" s="31">
        <f t="shared" si="66"/>
        <v>1</v>
      </c>
      <c r="H64" s="31">
        <f t="shared" ref="H64:I64" si="67">(20000/1000)</f>
        <v>20</v>
      </c>
      <c r="I64" s="31">
        <f t="shared" si="67"/>
        <v>20</v>
      </c>
      <c r="J64" s="1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s="4" customFormat="1" ht="69.75" customHeight="1" x14ac:dyDescent="0.2">
      <c r="A65" s="35" t="s">
        <v>52</v>
      </c>
      <c r="B65" s="65" t="s">
        <v>151</v>
      </c>
      <c r="C65" s="81">
        <v>278.89999999999998</v>
      </c>
      <c r="D65" s="81">
        <v>276</v>
      </c>
      <c r="E65" s="31">
        <f>(286000/1000)</f>
        <v>286</v>
      </c>
      <c r="F65" s="31">
        <f t="shared" si="65"/>
        <v>7.1000000000000227</v>
      </c>
      <c r="G65" s="31">
        <f t="shared" si="66"/>
        <v>10</v>
      </c>
      <c r="H65" s="31">
        <f t="shared" ref="H65:I65" si="68">(286000/1000)</f>
        <v>286</v>
      </c>
      <c r="I65" s="31">
        <f t="shared" si="68"/>
        <v>286</v>
      </c>
      <c r="J65" s="1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s="4" customFormat="1" ht="54" customHeight="1" x14ac:dyDescent="0.2">
      <c r="A66" s="11" t="s">
        <v>53</v>
      </c>
      <c r="B66" s="65" t="s">
        <v>152</v>
      </c>
      <c r="C66" s="81">
        <v>21.8</v>
      </c>
      <c r="D66" s="81">
        <v>30.5</v>
      </c>
      <c r="E66" s="31">
        <f>(22000/1000)</f>
        <v>22</v>
      </c>
      <c r="F66" s="31">
        <f t="shared" si="65"/>
        <v>0.19999999999999929</v>
      </c>
      <c r="G66" s="31">
        <f t="shared" si="66"/>
        <v>-8.5</v>
      </c>
      <c r="H66" s="31">
        <f t="shared" ref="H66:I66" si="69">(22000/1000)</f>
        <v>22</v>
      </c>
      <c r="I66" s="31">
        <f t="shared" si="69"/>
        <v>22</v>
      </c>
      <c r="J66" s="13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4" customFormat="1" ht="67.150000000000006" customHeight="1" x14ac:dyDescent="0.2">
      <c r="A67" s="11" t="s">
        <v>54</v>
      </c>
      <c r="B67" s="65" t="s">
        <v>153</v>
      </c>
      <c r="C67" s="81">
        <v>23.4</v>
      </c>
      <c r="D67" s="81">
        <v>36.1</v>
      </c>
      <c r="E67" s="31">
        <f>(24000/1000)</f>
        <v>24</v>
      </c>
      <c r="F67" s="31">
        <f t="shared" si="65"/>
        <v>0.60000000000000142</v>
      </c>
      <c r="G67" s="31">
        <f t="shared" si="66"/>
        <v>-12.100000000000001</v>
      </c>
      <c r="H67" s="31">
        <f t="shared" ref="H67:I67" si="70">(24000/1000)</f>
        <v>24</v>
      </c>
      <c r="I67" s="31">
        <f t="shared" si="70"/>
        <v>24</v>
      </c>
      <c r="J67" s="13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s="4" customFormat="1" ht="54.75" hidden="1" customHeight="1" x14ac:dyDescent="0.2">
      <c r="A68" s="11" t="s">
        <v>78</v>
      </c>
      <c r="B68" s="65" t="s">
        <v>79</v>
      </c>
      <c r="C68" s="81"/>
      <c r="D68" s="81"/>
      <c r="E68" s="31"/>
      <c r="F68" s="31">
        <f t="shared" si="65"/>
        <v>0</v>
      </c>
      <c r="G68" s="31">
        <f t="shared" si="66"/>
        <v>0</v>
      </c>
      <c r="H68" s="31"/>
      <c r="I68" s="31"/>
      <c r="J68" s="1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s="4" customFormat="1" ht="67.150000000000006" customHeight="1" x14ac:dyDescent="0.2">
      <c r="A69" s="11" t="s">
        <v>80</v>
      </c>
      <c r="B69" s="65" t="s">
        <v>81</v>
      </c>
      <c r="C69" s="81">
        <v>3</v>
      </c>
      <c r="D69" s="81">
        <v>3</v>
      </c>
      <c r="E69" s="31">
        <f>(1000/1000)</f>
        <v>1</v>
      </c>
      <c r="F69" s="31">
        <f t="shared" si="65"/>
        <v>-2</v>
      </c>
      <c r="G69" s="31">
        <f t="shared" si="66"/>
        <v>-2</v>
      </c>
      <c r="H69" s="31">
        <f t="shared" ref="H69:I70" si="71">(1000/1000)</f>
        <v>1</v>
      </c>
      <c r="I69" s="31">
        <f t="shared" si="71"/>
        <v>1</v>
      </c>
      <c r="J69" s="13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s="4" customFormat="1" ht="52.5" customHeight="1" x14ac:dyDescent="0.2">
      <c r="A70" s="11" t="s">
        <v>164</v>
      </c>
      <c r="B70" s="65" t="s">
        <v>165</v>
      </c>
      <c r="C70" s="81">
        <v>2.5</v>
      </c>
      <c r="D70" s="81">
        <v>5</v>
      </c>
      <c r="E70" s="31">
        <f>(1000/1000)</f>
        <v>1</v>
      </c>
      <c r="F70" s="31">
        <f t="shared" si="65"/>
        <v>-1.5</v>
      </c>
      <c r="G70" s="31">
        <f t="shared" si="66"/>
        <v>-4</v>
      </c>
      <c r="H70" s="31">
        <f t="shared" si="71"/>
        <v>1</v>
      </c>
      <c r="I70" s="31">
        <f t="shared" si="71"/>
        <v>1</v>
      </c>
      <c r="J70" s="13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s="4" customFormat="1" ht="54" customHeight="1" x14ac:dyDescent="0.2">
      <c r="A71" s="11" t="s">
        <v>167</v>
      </c>
      <c r="B71" s="65" t="s">
        <v>166</v>
      </c>
      <c r="C71" s="81"/>
      <c r="D71" s="81">
        <v>0.5</v>
      </c>
      <c r="E71" s="31">
        <f>(0/1000)</f>
        <v>0</v>
      </c>
      <c r="F71" s="31">
        <f t="shared" si="65"/>
        <v>0</v>
      </c>
      <c r="G71" s="31">
        <f t="shared" si="66"/>
        <v>-0.5</v>
      </c>
      <c r="H71" s="31">
        <f t="shared" ref="H71:I71" si="72">(0/1000)</f>
        <v>0</v>
      </c>
      <c r="I71" s="31">
        <f t="shared" si="72"/>
        <v>0</v>
      </c>
      <c r="J71" s="13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s="4" customFormat="1" ht="69.599999999999994" customHeight="1" x14ac:dyDescent="0.2">
      <c r="A72" s="11" t="s">
        <v>55</v>
      </c>
      <c r="B72" s="65" t="s">
        <v>154</v>
      </c>
      <c r="C72" s="81">
        <v>8.8000000000000007</v>
      </c>
      <c r="D72" s="81">
        <v>16.7</v>
      </c>
      <c r="E72" s="31">
        <f>(15000/1000)</f>
        <v>15</v>
      </c>
      <c r="F72" s="31">
        <f t="shared" si="65"/>
        <v>6.1999999999999993</v>
      </c>
      <c r="G72" s="31">
        <f t="shared" si="66"/>
        <v>-1.6999999999999993</v>
      </c>
      <c r="H72" s="31">
        <f t="shared" ref="H72:I72" si="73">(15000/1000)</f>
        <v>15</v>
      </c>
      <c r="I72" s="31">
        <f t="shared" si="73"/>
        <v>15</v>
      </c>
      <c r="J72" s="13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s="4" customFormat="1" ht="80.25" customHeight="1" x14ac:dyDescent="0.2">
      <c r="A73" s="11" t="s">
        <v>56</v>
      </c>
      <c r="B73" s="65" t="s">
        <v>155</v>
      </c>
      <c r="C73" s="81">
        <v>0.75</v>
      </c>
      <c r="D73" s="81">
        <v>0.7</v>
      </c>
      <c r="E73" s="31">
        <f>(1000/1000)</f>
        <v>1</v>
      </c>
      <c r="F73" s="31">
        <f t="shared" si="65"/>
        <v>0.25</v>
      </c>
      <c r="G73" s="31">
        <f t="shared" si="66"/>
        <v>0.30000000000000004</v>
      </c>
      <c r="H73" s="31">
        <f t="shared" ref="H73:I73" si="74">(1000/1000)</f>
        <v>1</v>
      </c>
      <c r="I73" s="31">
        <f t="shared" si="74"/>
        <v>1</v>
      </c>
      <c r="J73" s="13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s="4" customFormat="1" ht="60.75" customHeight="1" x14ac:dyDescent="0.2">
      <c r="A74" s="11" t="s">
        <v>82</v>
      </c>
      <c r="B74" s="65" t="s">
        <v>83</v>
      </c>
      <c r="C74" s="81">
        <v>2.6</v>
      </c>
      <c r="D74" s="81">
        <v>2</v>
      </c>
      <c r="E74" s="31">
        <f>(3000/1000)</f>
        <v>3</v>
      </c>
      <c r="F74" s="31">
        <f t="shared" si="65"/>
        <v>0.39999999999999991</v>
      </c>
      <c r="G74" s="31">
        <f t="shared" si="66"/>
        <v>1</v>
      </c>
      <c r="H74" s="31">
        <f t="shared" ref="H74:I74" si="75">(3000/1000)</f>
        <v>3</v>
      </c>
      <c r="I74" s="31">
        <f t="shared" si="75"/>
        <v>3</v>
      </c>
      <c r="J74" s="13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s="4" customFormat="1" ht="54" customHeight="1" x14ac:dyDescent="0.2">
      <c r="A75" s="11" t="s">
        <v>57</v>
      </c>
      <c r="B75" s="65" t="s">
        <v>156</v>
      </c>
      <c r="C75" s="81">
        <v>23.44</v>
      </c>
      <c r="D75" s="81">
        <v>54.5</v>
      </c>
      <c r="E75" s="31">
        <f>(13000/1000)</f>
        <v>13</v>
      </c>
      <c r="F75" s="31">
        <f t="shared" si="65"/>
        <v>-10.440000000000001</v>
      </c>
      <c r="G75" s="31">
        <f t="shared" si="66"/>
        <v>-41.5</v>
      </c>
      <c r="H75" s="31">
        <f t="shared" ref="H75:I75" si="76">(13000/1000)</f>
        <v>13</v>
      </c>
      <c r="I75" s="31">
        <f t="shared" si="76"/>
        <v>13</v>
      </c>
      <c r="J75" s="13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s="4" customFormat="1" ht="62.25" customHeight="1" x14ac:dyDescent="0.2">
      <c r="A76" s="11" t="s">
        <v>58</v>
      </c>
      <c r="B76" s="65" t="s">
        <v>157</v>
      </c>
      <c r="C76" s="81">
        <v>482.49</v>
      </c>
      <c r="D76" s="81">
        <v>477</v>
      </c>
      <c r="E76" s="31">
        <f>(495000/1000)</f>
        <v>495</v>
      </c>
      <c r="F76" s="31">
        <f t="shared" si="65"/>
        <v>12.509999999999991</v>
      </c>
      <c r="G76" s="31">
        <f t="shared" si="66"/>
        <v>18</v>
      </c>
      <c r="H76" s="31">
        <f t="shared" ref="H76:I76" si="77">(495000/1000)</f>
        <v>495</v>
      </c>
      <c r="I76" s="31">
        <f t="shared" si="77"/>
        <v>495</v>
      </c>
      <c r="J76" s="13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s="4" customFormat="1" ht="54" customHeight="1" x14ac:dyDescent="0.2">
      <c r="A77" s="11" t="s">
        <v>158</v>
      </c>
      <c r="B77" s="40" t="s">
        <v>159</v>
      </c>
      <c r="C77" s="81">
        <v>1320.43</v>
      </c>
      <c r="D77" s="81">
        <v>270</v>
      </c>
      <c r="E77" s="31">
        <f>(0/1000)</f>
        <v>0</v>
      </c>
      <c r="F77" s="31">
        <f t="shared" si="65"/>
        <v>-1320.43</v>
      </c>
      <c r="G77" s="31">
        <f t="shared" si="66"/>
        <v>-270</v>
      </c>
      <c r="H77" s="31">
        <f t="shared" ref="H77:I77" si="78">(0/1000)</f>
        <v>0</v>
      </c>
      <c r="I77" s="31">
        <f t="shared" si="78"/>
        <v>0</v>
      </c>
      <c r="J77" s="13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s="4" customFormat="1" ht="73.5" customHeight="1" x14ac:dyDescent="0.2">
      <c r="A78" s="11" t="s">
        <v>74</v>
      </c>
      <c r="B78" s="40" t="s">
        <v>75</v>
      </c>
      <c r="C78" s="81">
        <f>13.5+20</f>
        <v>33.5</v>
      </c>
      <c r="D78" s="81">
        <v>504</v>
      </c>
      <c r="E78" s="31">
        <f t="shared" ref="E78:E82" si="79">(0/1000)</f>
        <v>0</v>
      </c>
      <c r="F78" s="31">
        <f t="shared" si="65"/>
        <v>-33.5</v>
      </c>
      <c r="G78" s="31">
        <f t="shared" si="66"/>
        <v>-504</v>
      </c>
      <c r="H78" s="31">
        <f t="shared" ref="H78:I82" si="80">(0/1000)</f>
        <v>0</v>
      </c>
      <c r="I78" s="31">
        <f t="shared" si="80"/>
        <v>0</v>
      </c>
      <c r="J78" s="13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s="4" customFormat="1" ht="37.5" customHeight="1" x14ac:dyDescent="0.2">
      <c r="A79" s="11" t="s">
        <v>170</v>
      </c>
      <c r="B79" s="51" t="s">
        <v>171</v>
      </c>
      <c r="C79" s="81"/>
      <c r="D79" s="81">
        <v>98</v>
      </c>
      <c r="E79" s="31">
        <f t="shared" si="79"/>
        <v>0</v>
      </c>
      <c r="F79" s="31">
        <f t="shared" si="65"/>
        <v>0</v>
      </c>
      <c r="G79" s="31">
        <f t="shared" si="66"/>
        <v>-98</v>
      </c>
      <c r="H79" s="31">
        <f t="shared" si="80"/>
        <v>0</v>
      </c>
      <c r="I79" s="31">
        <f t="shared" si="80"/>
        <v>0</v>
      </c>
      <c r="J79" s="13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s="4" customFormat="1" ht="54.75" customHeight="1" x14ac:dyDescent="0.2">
      <c r="A80" s="11" t="s">
        <v>160</v>
      </c>
      <c r="B80" s="40" t="s">
        <v>161</v>
      </c>
      <c r="C80" s="81">
        <v>44.49</v>
      </c>
      <c r="D80" s="81"/>
      <c r="E80" s="31">
        <f t="shared" si="79"/>
        <v>0</v>
      </c>
      <c r="F80" s="31">
        <f t="shared" si="65"/>
        <v>-44.49</v>
      </c>
      <c r="G80" s="31">
        <f t="shared" si="66"/>
        <v>0</v>
      </c>
      <c r="H80" s="31">
        <f t="shared" si="80"/>
        <v>0</v>
      </c>
      <c r="I80" s="31">
        <f t="shared" si="80"/>
        <v>0</v>
      </c>
      <c r="J80" s="13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s="4" customFormat="1" ht="52.5" customHeight="1" x14ac:dyDescent="0.2">
      <c r="A81" s="11" t="s">
        <v>162</v>
      </c>
      <c r="B81" s="52" t="s">
        <v>163</v>
      </c>
      <c r="C81" s="81">
        <v>0.54</v>
      </c>
      <c r="D81" s="81"/>
      <c r="E81" s="31">
        <f t="shared" si="79"/>
        <v>0</v>
      </c>
      <c r="F81" s="31">
        <f t="shared" si="65"/>
        <v>-0.54</v>
      </c>
      <c r="G81" s="31">
        <f t="shared" si="66"/>
        <v>0</v>
      </c>
      <c r="H81" s="31">
        <f t="shared" si="80"/>
        <v>0</v>
      </c>
      <c r="I81" s="31">
        <f t="shared" si="80"/>
        <v>0</v>
      </c>
      <c r="J81" s="13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s="4" customFormat="1" ht="26.25" customHeight="1" x14ac:dyDescent="0.2">
      <c r="A82" s="11" t="s">
        <v>224</v>
      </c>
      <c r="B82" s="52" t="s">
        <v>225</v>
      </c>
      <c r="C82" s="81"/>
      <c r="D82" s="81">
        <v>51.64</v>
      </c>
      <c r="E82" s="31">
        <f t="shared" si="79"/>
        <v>0</v>
      </c>
      <c r="F82" s="31">
        <f t="shared" si="65"/>
        <v>0</v>
      </c>
      <c r="G82" s="31">
        <f t="shared" si="66"/>
        <v>-51.64</v>
      </c>
      <c r="H82" s="31">
        <f t="shared" si="80"/>
        <v>0</v>
      </c>
      <c r="I82" s="31">
        <f t="shared" si="80"/>
        <v>0</v>
      </c>
      <c r="J82" s="13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5" customHeight="1" x14ac:dyDescent="0.2">
      <c r="A83" s="25" t="s">
        <v>168</v>
      </c>
      <c r="B83" s="47" t="s">
        <v>169</v>
      </c>
      <c r="C83" s="59">
        <v>-1</v>
      </c>
      <c r="D83" s="59"/>
      <c r="E83" s="61"/>
      <c r="F83" s="59"/>
      <c r="G83" s="59"/>
      <c r="H83" s="57"/>
      <c r="I83" s="57"/>
    </row>
    <row r="84" spans="1:38" ht="20.25" customHeight="1" x14ac:dyDescent="0.2">
      <c r="A84" s="29" t="s">
        <v>62</v>
      </c>
      <c r="B84" s="41" t="s">
        <v>184</v>
      </c>
      <c r="C84" s="56">
        <f>C86+C92+C125+C154+C159+C161</f>
        <v>986198.52256000007</v>
      </c>
      <c r="D84" s="56">
        <f>D86+D92+D125+D154+D159</f>
        <v>1046950.1290299998</v>
      </c>
      <c r="E84" s="56">
        <f>E86+E92+E125+E154+E159</f>
        <v>1169116.1543999999</v>
      </c>
      <c r="F84" s="56"/>
      <c r="G84" s="56"/>
      <c r="H84" s="56">
        <f>H86+H92+H125+H154</f>
        <v>1038868.5883000001</v>
      </c>
      <c r="I84" s="56">
        <f>I86+I92+I125+I154</f>
        <v>1119247.3809300005</v>
      </c>
      <c r="J84" s="12"/>
      <c r="K84" s="12">
        <f>K86+K92+K125+K154</f>
        <v>0</v>
      </c>
      <c r="L84" s="12">
        <f>L86+L92+L125+L154</f>
        <v>0</v>
      </c>
    </row>
    <row r="85" spans="1:38" ht="30" customHeight="1" x14ac:dyDescent="0.2">
      <c r="A85" s="36" t="s">
        <v>63</v>
      </c>
      <c r="B85" s="53" t="s">
        <v>185</v>
      </c>
      <c r="C85" s="62">
        <f>C86+C92+C125+C154+C159+C161</f>
        <v>986198.52256000007</v>
      </c>
      <c r="D85" s="62">
        <f>D86+D92+D125+D154+D159+D161</f>
        <v>1046950.1290299998</v>
      </c>
      <c r="E85" s="62">
        <f>E86+E92+E125+E154</f>
        <v>1169116.1543999999</v>
      </c>
      <c r="F85" s="62"/>
      <c r="G85" s="62"/>
      <c r="H85" s="62">
        <f>H86+H92+H125+H154</f>
        <v>1038868.5883000001</v>
      </c>
      <c r="I85" s="62">
        <f>I86+I92+I125+I154</f>
        <v>1119247.3809300005</v>
      </c>
      <c r="J85" s="12"/>
      <c r="K85" s="12"/>
      <c r="L85" s="12"/>
    </row>
    <row r="86" spans="1:38" ht="21.75" customHeight="1" x14ac:dyDescent="0.2">
      <c r="A86" s="27" t="s">
        <v>64</v>
      </c>
      <c r="B86" s="24" t="s">
        <v>186</v>
      </c>
      <c r="C86" s="57">
        <f>SUM(C87:C91)</f>
        <v>62925.172030000002</v>
      </c>
      <c r="D86" s="57">
        <f>SUM(D87:D91)</f>
        <v>102140.27152000001</v>
      </c>
      <c r="E86" s="61">
        <f>E89+E90</f>
        <v>50750</v>
      </c>
      <c r="F86" s="57"/>
      <c r="G86" s="57"/>
      <c r="H86" s="61">
        <f t="shared" ref="H86:I86" si="81">H89+H90</f>
        <v>0</v>
      </c>
      <c r="I86" s="61">
        <f t="shared" si="81"/>
        <v>0</v>
      </c>
      <c r="J86" s="18"/>
      <c r="K86" s="18">
        <f t="shared" ref="K86:L86" si="82">K89</f>
        <v>0</v>
      </c>
      <c r="L86" s="18">
        <f t="shared" si="82"/>
        <v>0</v>
      </c>
    </row>
    <row r="87" spans="1:38" ht="25.9" customHeight="1" x14ac:dyDescent="0.2">
      <c r="A87" s="70" t="s">
        <v>248</v>
      </c>
      <c r="B87" s="30" t="s">
        <v>246</v>
      </c>
      <c r="C87" s="31">
        <f>52925172.03/1000</f>
        <v>52925.172030000002</v>
      </c>
      <c r="D87" s="58"/>
      <c r="E87" s="69"/>
      <c r="F87" s="58"/>
      <c r="G87" s="58"/>
      <c r="H87" s="69"/>
      <c r="I87" s="69"/>
      <c r="J87" s="18"/>
      <c r="K87" s="18"/>
      <c r="L87" s="18"/>
    </row>
    <row r="88" spans="1:38" ht="24" customHeight="1" x14ac:dyDescent="0.2">
      <c r="A88" s="70" t="s">
        <v>266</v>
      </c>
      <c r="B88" s="30" t="s">
        <v>220</v>
      </c>
      <c r="C88" s="31"/>
      <c r="D88" s="31">
        <f>40317271.52/1000</f>
        <v>40317.271520000002</v>
      </c>
      <c r="E88" s="69"/>
      <c r="F88" s="58"/>
      <c r="G88" s="58"/>
      <c r="H88" s="69"/>
      <c r="I88" s="69"/>
      <c r="J88" s="18"/>
      <c r="K88" s="18"/>
      <c r="L88" s="18"/>
    </row>
    <row r="89" spans="1:38" ht="30" customHeight="1" x14ac:dyDescent="0.2">
      <c r="A89" s="7" t="s">
        <v>94</v>
      </c>
      <c r="B89" s="49" t="s">
        <v>223</v>
      </c>
      <c r="C89" s="60"/>
      <c r="D89" s="60">
        <f>61823000/1000</f>
        <v>61823</v>
      </c>
      <c r="E89" s="31">
        <f>(50750000/1000)</f>
        <v>50750</v>
      </c>
      <c r="F89" s="60"/>
      <c r="G89" s="60"/>
      <c r="H89" s="31">
        <f>(0/1000)</f>
        <v>0</v>
      </c>
      <c r="I89" s="31">
        <f>(0/1000)</f>
        <v>0</v>
      </c>
      <c r="J89" s="12"/>
      <c r="K89" s="12"/>
      <c r="L89" s="12"/>
    </row>
    <row r="90" spans="1:38" ht="27.6" hidden="1" customHeight="1" x14ac:dyDescent="0.2">
      <c r="A90" s="7" t="s">
        <v>213</v>
      </c>
      <c r="B90" s="30" t="s">
        <v>220</v>
      </c>
      <c r="C90" s="31"/>
      <c r="D90" s="31"/>
      <c r="E90" s="31">
        <v>0</v>
      </c>
      <c r="F90" s="31"/>
      <c r="G90" s="31"/>
      <c r="H90" s="31">
        <v>0</v>
      </c>
      <c r="I90" s="31">
        <v>0</v>
      </c>
      <c r="J90" s="19"/>
      <c r="K90" s="12"/>
      <c r="L90" s="12"/>
    </row>
    <row r="91" spans="1:38" ht="27.6" customHeight="1" x14ac:dyDescent="0.2">
      <c r="A91" s="70" t="s">
        <v>249</v>
      </c>
      <c r="B91" s="30" t="s">
        <v>247</v>
      </c>
      <c r="C91" s="31">
        <f>10000000/1000</f>
        <v>10000</v>
      </c>
      <c r="D91" s="31"/>
      <c r="E91" s="31"/>
      <c r="F91" s="31"/>
      <c r="G91" s="31"/>
      <c r="H91" s="31"/>
      <c r="I91" s="31"/>
      <c r="J91" s="19"/>
      <c r="K91" s="12"/>
      <c r="L91" s="12"/>
    </row>
    <row r="92" spans="1:38" ht="28.9" customHeight="1" x14ac:dyDescent="0.2">
      <c r="A92" s="27" t="s">
        <v>112</v>
      </c>
      <c r="B92" s="24" t="s">
        <v>187</v>
      </c>
      <c r="C92" s="57">
        <f>SUM(C94:C101,C102,C108)</f>
        <v>199773.03524</v>
      </c>
      <c r="D92" s="57">
        <f>SUM(D94:D102)+D108</f>
        <v>68572.097309999997</v>
      </c>
      <c r="E92" s="61">
        <f>SUM(E93:E101)+E108</f>
        <v>166115.72721000001</v>
      </c>
      <c r="F92" s="57"/>
      <c r="G92" s="57"/>
      <c r="H92" s="61">
        <f>SUM(H93:H101)+H108</f>
        <v>26673.724740000001</v>
      </c>
      <c r="I92" s="61">
        <f>SUM(I93:I101)+I108</f>
        <v>26565.681200000003</v>
      </c>
      <c r="J92" s="12"/>
      <c r="K92" s="12">
        <f>SUM(K93:K122)</f>
        <v>0</v>
      </c>
      <c r="L92" s="12">
        <f>SUM(L93:L122)</f>
        <v>0</v>
      </c>
    </row>
    <row r="93" spans="1:38" ht="51" hidden="1" customHeight="1" x14ac:dyDescent="0.2">
      <c r="A93" s="8" t="s">
        <v>102</v>
      </c>
      <c r="B93" s="49" t="s">
        <v>191</v>
      </c>
      <c r="C93" s="60"/>
      <c r="D93" s="60"/>
      <c r="E93" s="60">
        <f>904423.82-904423.82</f>
        <v>0</v>
      </c>
      <c r="F93" s="60"/>
      <c r="G93" s="60"/>
      <c r="H93" s="60">
        <v>0</v>
      </c>
      <c r="I93" s="60">
        <v>0</v>
      </c>
      <c r="J93" s="12"/>
      <c r="K93" s="12"/>
      <c r="L93" s="12"/>
    </row>
    <row r="94" spans="1:38" ht="39" customHeight="1" x14ac:dyDescent="0.2">
      <c r="A94" s="7" t="s">
        <v>104</v>
      </c>
      <c r="B94" s="66" t="s">
        <v>192</v>
      </c>
      <c r="C94" s="60"/>
      <c r="D94" s="60">
        <f>950000/1000</f>
        <v>950</v>
      </c>
      <c r="E94" s="60">
        <f>(1103318.79/1000)</f>
        <v>1103.31879</v>
      </c>
      <c r="F94" s="60"/>
      <c r="G94" s="60"/>
      <c r="H94" s="60">
        <f>(1761512.35/1000)</f>
        <v>1761.5123500000002</v>
      </c>
      <c r="I94" s="60">
        <f>(1761512.35/1000)</f>
        <v>1761.5123500000002</v>
      </c>
      <c r="J94" s="12"/>
      <c r="K94" s="12"/>
      <c r="L94" s="12"/>
    </row>
    <row r="95" spans="1:38" ht="25.5" customHeight="1" x14ac:dyDescent="0.2">
      <c r="A95" s="7" t="s">
        <v>106</v>
      </c>
      <c r="B95" s="49" t="s">
        <v>193</v>
      </c>
      <c r="C95" s="60">
        <f>4240350/1000</f>
        <v>4240.3500000000004</v>
      </c>
      <c r="D95" s="60">
        <f>3593550/1000</f>
        <v>3593.55</v>
      </c>
      <c r="E95" s="60">
        <f>(7182293.95/1000)</f>
        <v>7182.2939500000002</v>
      </c>
      <c r="F95" s="60"/>
      <c r="G95" s="60"/>
      <c r="H95" s="60">
        <f>(4429874.49/1000)</f>
        <v>4429.8744900000002</v>
      </c>
      <c r="I95" s="60">
        <f>(4321830.95/1000)</f>
        <v>4321.8309500000005</v>
      </c>
      <c r="J95" s="12"/>
      <c r="K95" s="12"/>
      <c r="L95" s="12"/>
    </row>
    <row r="96" spans="1:38" ht="21.75" customHeight="1" x14ac:dyDescent="0.2">
      <c r="A96" s="9" t="s">
        <v>105</v>
      </c>
      <c r="B96" s="49" t="s">
        <v>194</v>
      </c>
      <c r="C96" s="60">
        <f>4706826.79/1000</f>
        <v>4706.8267900000001</v>
      </c>
      <c r="D96" s="60"/>
      <c r="E96" s="60">
        <f>(1610780.49/1000)</f>
        <v>1610.7804900000001</v>
      </c>
      <c r="F96" s="60"/>
      <c r="G96" s="60"/>
      <c r="H96" s="60">
        <f>(1652839.5/1000)</f>
        <v>1652.8395</v>
      </c>
      <c r="I96" s="60">
        <f>(1652839.5/1000)</f>
        <v>1652.8395</v>
      </c>
      <c r="J96" s="12"/>
      <c r="K96" s="12"/>
      <c r="L96" s="12"/>
    </row>
    <row r="97" spans="1:12" ht="21.75" customHeight="1" x14ac:dyDescent="0.2">
      <c r="A97" s="71" t="s">
        <v>251</v>
      </c>
      <c r="B97" s="49" t="s">
        <v>250</v>
      </c>
      <c r="C97" s="60">
        <f>28671323.53/1000</f>
        <v>28671.323530000001</v>
      </c>
      <c r="D97" s="60"/>
      <c r="E97" s="60"/>
      <c r="F97" s="60"/>
      <c r="G97" s="60"/>
      <c r="H97" s="60"/>
      <c r="I97" s="60"/>
      <c r="J97" s="12"/>
      <c r="K97" s="12"/>
      <c r="L97" s="12"/>
    </row>
    <row r="98" spans="1:12" ht="26.45" customHeight="1" x14ac:dyDescent="0.2">
      <c r="A98" s="71" t="s">
        <v>265</v>
      </c>
      <c r="B98" s="49" t="s">
        <v>254</v>
      </c>
      <c r="C98" s="60">
        <f>32741468.37/1000</f>
        <v>32741.468370000002</v>
      </c>
      <c r="D98" s="60"/>
      <c r="E98" s="60"/>
      <c r="F98" s="60"/>
      <c r="G98" s="60"/>
      <c r="H98" s="60"/>
      <c r="I98" s="60"/>
      <c r="J98" s="12"/>
      <c r="K98" s="12"/>
      <c r="L98" s="12"/>
    </row>
    <row r="99" spans="1:12" ht="25.9" customHeight="1" x14ac:dyDescent="0.2">
      <c r="A99" s="71" t="s">
        <v>253</v>
      </c>
      <c r="B99" s="49" t="s">
        <v>252</v>
      </c>
      <c r="C99" s="60">
        <f>4536873.88/1000</f>
        <v>4536.8738800000001</v>
      </c>
      <c r="D99" s="60"/>
      <c r="E99" s="60"/>
      <c r="F99" s="60"/>
      <c r="G99" s="60"/>
      <c r="H99" s="60"/>
      <c r="I99" s="60"/>
      <c r="J99" s="12"/>
      <c r="K99" s="12"/>
      <c r="L99" s="12"/>
    </row>
    <row r="100" spans="1:12" ht="30" customHeight="1" x14ac:dyDescent="0.2">
      <c r="A100" s="9" t="s">
        <v>209</v>
      </c>
      <c r="B100" s="49" t="s">
        <v>210</v>
      </c>
      <c r="C100" s="60"/>
      <c r="D100" s="60">
        <f>1373417.86/1000</f>
        <v>1373.41786</v>
      </c>
      <c r="E100" s="60">
        <f>(1406915.85/1000)</f>
        <v>1406.9158500000001</v>
      </c>
      <c r="F100" s="60"/>
      <c r="G100" s="60"/>
      <c r="H100" s="60">
        <f>(1424285.19/1000)</f>
        <v>1424.2851900000001</v>
      </c>
      <c r="I100" s="60">
        <f>(1424285.19/1000)</f>
        <v>1424.2851900000001</v>
      </c>
      <c r="J100" s="12"/>
      <c r="K100" s="12"/>
      <c r="L100" s="12"/>
    </row>
    <row r="101" spans="1:12" ht="26.25" customHeight="1" x14ac:dyDescent="0.2">
      <c r="A101" s="9" t="s">
        <v>214</v>
      </c>
      <c r="B101" s="67" t="s">
        <v>221</v>
      </c>
      <c r="C101" s="60"/>
      <c r="D101" s="60">
        <f>5385735/1000</f>
        <v>5385.7349999999997</v>
      </c>
      <c r="E101" s="60">
        <v>0</v>
      </c>
      <c r="F101" s="60"/>
      <c r="G101" s="60"/>
      <c r="H101" s="60">
        <v>0</v>
      </c>
      <c r="I101" s="60">
        <v>0</v>
      </c>
      <c r="J101" s="12"/>
      <c r="K101" s="12"/>
      <c r="L101" s="12"/>
    </row>
    <row r="102" spans="1:12" s="74" customFormat="1" ht="28.15" customHeight="1" x14ac:dyDescent="0.2">
      <c r="A102" s="82" t="s">
        <v>255</v>
      </c>
      <c r="B102" s="55" t="s">
        <v>256</v>
      </c>
      <c r="C102" s="59">
        <f>SUM(C103:C107)</f>
        <v>103260.08284999999</v>
      </c>
      <c r="D102" s="59"/>
      <c r="E102" s="59"/>
      <c r="F102" s="59"/>
      <c r="G102" s="59"/>
      <c r="H102" s="59"/>
      <c r="I102" s="59"/>
      <c r="J102" s="73"/>
      <c r="K102" s="73"/>
      <c r="L102" s="73"/>
    </row>
    <row r="103" spans="1:12" ht="28.15" customHeight="1" x14ac:dyDescent="0.2">
      <c r="A103" s="83"/>
      <c r="B103" s="54" t="s">
        <v>269</v>
      </c>
      <c r="C103" s="31">
        <f>4290482.85/1000</f>
        <v>4290.4828499999994</v>
      </c>
      <c r="D103" s="31"/>
      <c r="E103" s="31"/>
      <c r="F103" s="31"/>
      <c r="G103" s="31"/>
      <c r="H103" s="31"/>
      <c r="I103" s="31"/>
      <c r="J103" s="12"/>
      <c r="K103" s="12"/>
      <c r="L103" s="12"/>
    </row>
    <row r="104" spans="1:12" ht="28.15" customHeight="1" x14ac:dyDescent="0.2">
      <c r="A104" s="86"/>
      <c r="B104" s="87" t="s">
        <v>270</v>
      </c>
      <c r="C104" s="85">
        <f>90907164.03/1000</f>
        <v>90907.16403</v>
      </c>
      <c r="D104" s="88"/>
      <c r="E104" s="88"/>
      <c r="F104" s="88"/>
      <c r="G104" s="88"/>
      <c r="H104" s="88"/>
      <c r="I104" s="88"/>
      <c r="J104" s="12"/>
      <c r="K104" s="12"/>
      <c r="L104" s="12"/>
    </row>
    <row r="105" spans="1:12" ht="36.75" customHeight="1" x14ac:dyDescent="0.2">
      <c r="A105" s="89" t="s">
        <v>273</v>
      </c>
      <c r="B105" s="90" t="s">
        <v>271</v>
      </c>
      <c r="C105" s="85">
        <f>1936535.79/1000</f>
        <v>1936.5357900000001</v>
      </c>
      <c r="D105" s="91"/>
      <c r="E105" s="91"/>
      <c r="F105" s="91"/>
      <c r="G105" s="91"/>
      <c r="H105" s="91"/>
      <c r="I105" s="91"/>
      <c r="J105" s="12"/>
      <c r="K105" s="12"/>
      <c r="L105" s="12"/>
    </row>
    <row r="106" spans="1:12" ht="36.75" customHeight="1" x14ac:dyDescent="0.2">
      <c r="A106" s="71" t="s">
        <v>273</v>
      </c>
      <c r="B106" s="84" t="s">
        <v>272</v>
      </c>
      <c r="C106" s="85">
        <f>1166982.55/1000</f>
        <v>1166.9825499999999</v>
      </c>
      <c r="D106" s="60"/>
      <c r="E106" s="60"/>
      <c r="F106" s="60"/>
      <c r="G106" s="60"/>
      <c r="H106" s="60"/>
      <c r="I106" s="60"/>
      <c r="J106" s="12"/>
      <c r="K106" s="12"/>
      <c r="L106" s="12"/>
    </row>
    <row r="107" spans="1:12" s="98" customFormat="1" ht="54" customHeight="1" x14ac:dyDescent="0.2">
      <c r="A107" s="71" t="s">
        <v>273</v>
      </c>
      <c r="B107" s="84" t="s">
        <v>275</v>
      </c>
      <c r="C107" s="96">
        <f>4958917.63/1000</f>
        <v>4958.9176299999999</v>
      </c>
      <c r="D107" s="60"/>
      <c r="E107" s="60"/>
      <c r="F107" s="60"/>
      <c r="G107" s="60"/>
      <c r="H107" s="60"/>
      <c r="I107" s="60"/>
      <c r="J107" s="97"/>
      <c r="K107" s="97"/>
      <c r="L107" s="97"/>
    </row>
    <row r="108" spans="1:12" ht="19.149999999999999" customHeight="1" x14ac:dyDescent="0.2">
      <c r="A108" s="92" t="s">
        <v>103</v>
      </c>
      <c r="B108" s="93" t="s">
        <v>188</v>
      </c>
      <c r="C108" s="94">
        <f>SUM(C109:C124)</f>
        <v>21616.109820000001</v>
      </c>
      <c r="D108" s="94">
        <f>SUM(D109:D124)</f>
        <v>57269.39445</v>
      </c>
      <c r="E108" s="95">
        <f>SUM(E109:E122)</f>
        <v>154812.41813000001</v>
      </c>
      <c r="F108" s="94"/>
      <c r="G108" s="94"/>
      <c r="H108" s="95">
        <f>SUM(H109:H122)</f>
        <v>17405.213210000002</v>
      </c>
      <c r="I108" s="95">
        <f>SUM(I109:I122)</f>
        <v>17405.213210000002</v>
      </c>
      <c r="J108" s="12"/>
      <c r="K108" s="12"/>
      <c r="L108" s="12"/>
    </row>
    <row r="109" spans="1:12" ht="27.6" customHeight="1" x14ac:dyDescent="0.2">
      <c r="A109" s="7"/>
      <c r="B109" s="49" t="s">
        <v>108</v>
      </c>
      <c r="C109" s="60"/>
      <c r="D109" s="60">
        <f>3273607.64/1000</f>
        <v>3273.6076400000002</v>
      </c>
      <c r="E109" s="60">
        <f>(13725234.99/1000)</f>
        <v>13725.234990000001</v>
      </c>
      <c r="F109" s="60"/>
      <c r="G109" s="60"/>
      <c r="H109" s="60">
        <v>0</v>
      </c>
      <c r="I109" s="60">
        <v>0</v>
      </c>
      <c r="J109" s="12"/>
      <c r="K109" s="12"/>
      <c r="L109" s="12"/>
    </row>
    <row r="110" spans="1:12" ht="27.6" customHeight="1" x14ac:dyDescent="0.2">
      <c r="A110" s="7"/>
      <c r="B110" s="49" t="s">
        <v>233</v>
      </c>
      <c r="C110" s="60"/>
      <c r="D110" s="60"/>
      <c r="E110" s="60">
        <f>(73600000/1000)</f>
        <v>73600</v>
      </c>
      <c r="F110" s="60"/>
      <c r="G110" s="60"/>
      <c r="H110" s="60">
        <v>0</v>
      </c>
      <c r="I110" s="60">
        <v>0</v>
      </c>
      <c r="J110" s="12"/>
      <c r="K110" s="12"/>
      <c r="L110" s="12"/>
    </row>
    <row r="111" spans="1:12" ht="30" customHeight="1" x14ac:dyDescent="0.2">
      <c r="A111" s="7"/>
      <c r="B111" s="49" t="s">
        <v>107</v>
      </c>
      <c r="C111" s="60">
        <f>2989618.12/1000</f>
        <v>2989.6181200000001</v>
      </c>
      <c r="D111" s="60">
        <f>2079000/1000</f>
        <v>2079</v>
      </c>
      <c r="E111" s="60">
        <f>(4004946/1000)</f>
        <v>4004.9459999999999</v>
      </c>
      <c r="F111" s="60"/>
      <c r="G111" s="60"/>
      <c r="H111" s="60">
        <v>0</v>
      </c>
      <c r="I111" s="60">
        <v>0</v>
      </c>
      <c r="J111" s="12"/>
      <c r="K111" s="12"/>
      <c r="L111" s="12"/>
    </row>
    <row r="112" spans="1:12" ht="39.6" customHeight="1" x14ac:dyDescent="0.2">
      <c r="A112" s="7"/>
      <c r="B112" s="49" t="s">
        <v>110</v>
      </c>
      <c r="C112" s="60"/>
      <c r="D112" s="60">
        <f>956150/1000</f>
        <v>956.15</v>
      </c>
      <c r="E112" s="60">
        <f>(1552000.02/1000)</f>
        <v>1552.0000199999999</v>
      </c>
      <c r="F112" s="60"/>
      <c r="G112" s="60"/>
      <c r="H112" s="60">
        <v>0</v>
      </c>
      <c r="I112" s="60">
        <v>0</v>
      </c>
      <c r="J112" s="12"/>
      <c r="K112" s="12"/>
      <c r="L112" s="12"/>
    </row>
    <row r="113" spans="1:12" ht="29.45" customHeight="1" x14ac:dyDescent="0.2">
      <c r="A113" s="7"/>
      <c r="B113" s="49" t="s">
        <v>111</v>
      </c>
      <c r="C113" s="60"/>
      <c r="D113" s="60">
        <f>17318980.65/1000</f>
        <v>17318.980649999998</v>
      </c>
      <c r="E113" s="60">
        <f>(0/1000)</f>
        <v>0</v>
      </c>
      <c r="F113" s="60"/>
      <c r="G113" s="60"/>
      <c r="H113" s="60">
        <f>(17237208.21/1000)</f>
        <v>17237.208210000001</v>
      </c>
      <c r="I113" s="60">
        <f>(17237208.21/1000)</f>
        <v>17237.208210000001</v>
      </c>
      <c r="J113" s="12"/>
      <c r="K113" s="12"/>
      <c r="L113" s="12"/>
    </row>
    <row r="114" spans="1:12" ht="22.9" customHeight="1" x14ac:dyDescent="0.2">
      <c r="A114" s="7"/>
      <c r="B114" s="67" t="s">
        <v>109</v>
      </c>
      <c r="C114" s="60">
        <f>3742890.47/1000</f>
        <v>3742.8904700000003</v>
      </c>
      <c r="D114" s="60">
        <f>899356.26/1000</f>
        <v>899.35626000000002</v>
      </c>
      <c r="E114" s="60">
        <f>(1247833.85/1000)</f>
        <v>1247.83385</v>
      </c>
      <c r="F114" s="60"/>
      <c r="G114" s="60"/>
      <c r="H114" s="60">
        <v>0</v>
      </c>
      <c r="I114" s="60">
        <v>0</v>
      </c>
      <c r="J114" s="12"/>
      <c r="K114" s="12"/>
      <c r="L114" s="12"/>
    </row>
    <row r="115" spans="1:12" ht="25.9" customHeight="1" x14ac:dyDescent="0.2">
      <c r="A115" s="7"/>
      <c r="B115" s="67" t="s">
        <v>65</v>
      </c>
      <c r="C115" s="60">
        <f>168005/1000</f>
        <v>168.005</v>
      </c>
      <c r="D115" s="60">
        <f>168005/1000</f>
        <v>168.005</v>
      </c>
      <c r="E115" s="60">
        <f>(168005/1000)</f>
        <v>168.005</v>
      </c>
      <c r="F115" s="60"/>
      <c r="G115" s="60"/>
      <c r="H115" s="60">
        <f t="shared" ref="H115:I115" si="83">(168005/1000)</f>
        <v>168.005</v>
      </c>
      <c r="I115" s="60">
        <f t="shared" si="83"/>
        <v>168.005</v>
      </c>
      <c r="J115" s="12"/>
      <c r="K115" s="12"/>
      <c r="L115" s="12"/>
    </row>
    <row r="116" spans="1:12" ht="38.25" customHeight="1" x14ac:dyDescent="0.2">
      <c r="A116" s="7"/>
      <c r="B116" s="67" t="s">
        <v>208</v>
      </c>
      <c r="C116" s="60">
        <f>9999385.01/1000</f>
        <v>9999.38501</v>
      </c>
      <c r="D116" s="60">
        <f>10000000/1000</f>
        <v>10000</v>
      </c>
      <c r="E116" s="60">
        <v>0</v>
      </c>
      <c r="F116" s="60"/>
      <c r="G116" s="60"/>
      <c r="H116" s="60">
        <v>0</v>
      </c>
      <c r="I116" s="60">
        <v>0</v>
      </c>
      <c r="J116" s="12"/>
      <c r="K116" s="12"/>
      <c r="L116" s="12"/>
    </row>
    <row r="117" spans="1:12" ht="42.6" customHeight="1" x14ac:dyDescent="0.2">
      <c r="A117" s="7"/>
      <c r="B117" s="67" t="s">
        <v>212</v>
      </c>
      <c r="C117" s="60"/>
      <c r="D117" s="60">
        <f>11880000/1000</f>
        <v>11880</v>
      </c>
      <c r="E117" s="60">
        <f>(34650000/1000)</f>
        <v>34650</v>
      </c>
      <c r="F117" s="60"/>
      <c r="G117" s="60"/>
      <c r="H117" s="60">
        <v>0</v>
      </c>
      <c r="I117" s="60">
        <v>0</v>
      </c>
      <c r="J117" s="12"/>
      <c r="K117" s="12"/>
      <c r="L117" s="12"/>
    </row>
    <row r="118" spans="1:12" ht="42" customHeight="1" x14ac:dyDescent="0.2">
      <c r="A118" s="7"/>
      <c r="B118" s="67" t="s">
        <v>234</v>
      </c>
      <c r="C118" s="60"/>
      <c r="D118" s="60"/>
      <c r="E118" s="60">
        <f>(16893004.41/1000)</f>
        <v>16893.004410000001</v>
      </c>
      <c r="F118" s="60"/>
      <c r="G118" s="60"/>
      <c r="H118" s="60">
        <v>0</v>
      </c>
      <c r="I118" s="60">
        <v>0</v>
      </c>
      <c r="J118" s="12"/>
      <c r="K118" s="12"/>
      <c r="L118" s="12"/>
    </row>
    <row r="119" spans="1:12" ht="29.25" customHeight="1" x14ac:dyDescent="0.2">
      <c r="A119" s="7"/>
      <c r="B119" s="67" t="s">
        <v>215</v>
      </c>
      <c r="C119" s="60"/>
      <c r="D119" s="60">
        <f>359964/1000</f>
        <v>359.964</v>
      </c>
      <c r="E119" s="60">
        <v>0</v>
      </c>
      <c r="F119" s="60"/>
      <c r="G119" s="60"/>
      <c r="H119" s="60">
        <f>20193602.7-20193602.7</f>
        <v>0</v>
      </c>
      <c r="I119" s="60">
        <f>19785651.13-19785651.13</f>
        <v>0</v>
      </c>
      <c r="J119" s="12"/>
      <c r="K119" s="12"/>
      <c r="L119" s="12"/>
    </row>
    <row r="120" spans="1:12" ht="28.9" customHeight="1" x14ac:dyDescent="0.2">
      <c r="A120" s="7"/>
      <c r="B120" s="67" t="s">
        <v>232</v>
      </c>
      <c r="C120" s="60"/>
      <c r="D120" s="60"/>
      <c r="E120" s="60">
        <f>(506393.86/1000)</f>
        <v>506.39385999999996</v>
      </c>
      <c r="F120" s="60"/>
      <c r="G120" s="60"/>
      <c r="H120" s="60">
        <v>0</v>
      </c>
      <c r="I120" s="60">
        <v>0</v>
      </c>
      <c r="J120" s="12"/>
      <c r="K120" s="12"/>
      <c r="L120" s="12"/>
    </row>
    <row r="121" spans="1:12" ht="31.15" customHeight="1" x14ac:dyDescent="0.2">
      <c r="A121" s="7"/>
      <c r="B121" s="67" t="s">
        <v>230</v>
      </c>
      <c r="C121" s="60"/>
      <c r="D121" s="60"/>
      <c r="E121" s="60">
        <f>(3465000/1000)</f>
        <v>3465</v>
      </c>
      <c r="F121" s="60"/>
      <c r="G121" s="60"/>
      <c r="H121" s="60">
        <v>0</v>
      </c>
      <c r="I121" s="60">
        <v>0</v>
      </c>
      <c r="J121" s="12"/>
      <c r="K121" s="12"/>
      <c r="L121" s="12"/>
    </row>
    <row r="122" spans="1:12" ht="30.6" customHeight="1" x14ac:dyDescent="0.2">
      <c r="A122" s="7"/>
      <c r="B122" s="67" t="s">
        <v>231</v>
      </c>
      <c r="C122" s="60"/>
      <c r="D122" s="60"/>
      <c r="E122" s="60">
        <f>(5000000/1000)</f>
        <v>5000</v>
      </c>
      <c r="F122" s="60"/>
      <c r="G122" s="60"/>
      <c r="H122" s="60">
        <v>0</v>
      </c>
      <c r="I122" s="60">
        <v>0</v>
      </c>
      <c r="J122" s="12"/>
      <c r="K122" s="12"/>
      <c r="L122" s="12"/>
    </row>
    <row r="123" spans="1:12" ht="30.6" customHeight="1" x14ac:dyDescent="0.2">
      <c r="A123" s="86"/>
      <c r="B123" s="87" t="s">
        <v>274</v>
      </c>
      <c r="C123" s="85">
        <f>4716211.22/1000</f>
        <v>4716.2112200000001</v>
      </c>
      <c r="D123" s="60">
        <f>4971180.54/1000</f>
        <v>4971.1805400000003</v>
      </c>
      <c r="E123" s="60"/>
      <c r="F123" s="60"/>
      <c r="G123" s="60"/>
      <c r="H123" s="60"/>
      <c r="I123" s="60"/>
      <c r="J123" s="12"/>
      <c r="K123" s="12"/>
      <c r="L123" s="12"/>
    </row>
    <row r="124" spans="1:12" ht="30.6" customHeight="1" x14ac:dyDescent="0.2">
      <c r="A124" s="7"/>
      <c r="B124" s="67" t="s">
        <v>281</v>
      </c>
      <c r="C124" s="60"/>
      <c r="D124" s="60">
        <f>5363150.36/1000</f>
        <v>5363.1503600000005</v>
      </c>
      <c r="E124" s="60"/>
      <c r="F124" s="60"/>
      <c r="G124" s="60"/>
      <c r="H124" s="60"/>
      <c r="I124" s="60"/>
      <c r="J124" s="12"/>
      <c r="K124" s="12"/>
      <c r="L124" s="12"/>
    </row>
    <row r="125" spans="1:12" ht="20.25" customHeight="1" x14ac:dyDescent="0.2">
      <c r="A125" s="27" t="s">
        <v>66</v>
      </c>
      <c r="B125" s="23" t="s">
        <v>189</v>
      </c>
      <c r="C125" s="61">
        <f>SUM(C126:C133,C136,C134,C150)</f>
        <v>698232.64135000005</v>
      </c>
      <c r="D125" s="61">
        <f>SUM(D126:D133,D136,D152)</f>
        <v>832339.49819999991</v>
      </c>
      <c r="E125" s="61">
        <f>SUM(E126:E133)+E136+E152</f>
        <v>907975.47759000002</v>
      </c>
      <c r="F125" s="61"/>
      <c r="G125" s="61"/>
      <c r="H125" s="61">
        <f>SUM(H126:H133)+H136+H152</f>
        <v>966404.57860000012</v>
      </c>
      <c r="I125" s="61">
        <f>SUM(I126:I133)+I136+I152</f>
        <v>1046891.4147700003</v>
      </c>
      <c r="J125" s="12"/>
      <c r="K125" s="12">
        <f>SUM(K126:K153)</f>
        <v>0</v>
      </c>
      <c r="L125" s="12">
        <f>SUM(L126:L153)</f>
        <v>0</v>
      </c>
    </row>
    <row r="126" spans="1:12" ht="35.25" customHeight="1" x14ac:dyDescent="0.2">
      <c r="A126" s="9" t="s">
        <v>91</v>
      </c>
      <c r="B126" s="49" t="s">
        <v>211</v>
      </c>
      <c r="C126" s="60"/>
      <c r="D126" s="60">
        <f>3497000/1000</f>
        <v>3497</v>
      </c>
      <c r="E126" s="68">
        <v>0</v>
      </c>
      <c r="F126" s="60"/>
      <c r="G126" s="60"/>
      <c r="H126" s="68">
        <v>0</v>
      </c>
      <c r="I126" s="68">
        <v>0</v>
      </c>
      <c r="J126" s="12"/>
      <c r="K126" s="12"/>
      <c r="L126" s="12"/>
    </row>
    <row r="127" spans="1:12" ht="35.25" customHeight="1" x14ac:dyDescent="0.2">
      <c r="A127" s="21" t="s">
        <v>278</v>
      </c>
      <c r="B127" s="30" t="s">
        <v>277</v>
      </c>
      <c r="C127" s="31"/>
      <c r="D127" s="31"/>
      <c r="E127" s="96"/>
      <c r="F127" s="31"/>
      <c r="G127" s="31"/>
      <c r="H127" s="96"/>
      <c r="I127" s="96"/>
      <c r="J127" s="12"/>
      <c r="K127" s="12"/>
      <c r="L127" s="12"/>
    </row>
    <row r="128" spans="1:12" ht="42" customHeight="1" x14ac:dyDescent="0.2">
      <c r="A128" s="21" t="s">
        <v>89</v>
      </c>
      <c r="B128" s="30" t="s">
        <v>195</v>
      </c>
      <c r="C128" s="31">
        <f>17874487.89/1000</f>
        <v>17874.48789</v>
      </c>
      <c r="D128" s="31">
        <f>25894400/1000</f>
        <v>25894.400000000001</v>
      </c>
      <c r="E128" s="31">
        <f>(23433650/1000)</f>
        <v>23433.65</v>
      </c>
      <c r="F128" s="31"/>
      <c r="G128" s="31"/>
      <c r="H128" s="31">
        <f t="shared" ref="H128:I128" si="84">(23433650/1000)</f>
        <v>23433.65</v>
      </c>
      <c r="I128" s="31">
        <f t="shared" si="84"/>
        <v>23433.65</v>
      </c>
      <c r="J128" s="12"/>
      <c r="K128" s="12"/>
      <c r="L128" s="12"/>
    </row>
    <row r="129" spans="1:12" ht="27.75" customHeight="1" x14ac:dyDescent="0.2">
      <c r="A129" s="21" t="s">
        <v>98</v>
      </c>
      <c r="B129" s="30" t="s">
        <v>196</v>
      </c>
      <c r="C129" s="31">
        <f>2282298/1000</f>
        <v>2282.2979999999998</v>
      </c>
      <c r="D129" s="31">
        <v>2166.1799999999998</v>
      </c>
      <c r="E129" s="31">
        <f>(2218214/1000)</f>
        <v>2218.2139999999999</v>
      </c>
      <c r="F129" s="31"/>
      <c r="G129" s="31"/>
      <c r="H129" s="31">
        <f t="shared" ref="H129:I129" si="85">(2218214/1000)</f>
        <v>2218.2139999999999</v>
      </c>
      <c r="I129" s="31">
        <f t="shared" si="85"/>
        <v>2218.2139999999999</v>
      </c>
      <c r="J129" s="12"/>
      <c r="K129" s="12"/>
      <c r="L129" s="12"/>
    </row>
    <row r="130" spans="1:12" ht="41.45" customHeight="1" x14ac:dyDescent="0.2">
      <c r="A130" s="9" t="s">
        <v>96</v>
      </c>
      <c r="B130" s="49" t="s">
        <v>197</v>
      </c>
      <c r="C130" s="60"/>
      <c r="D130" s="60">
        <f>1793832/1000</f>
        <v>1793.8320000000001</v>
      </c>
      <c r="E130" s="60">
        <f>(1978062/1000)</f>
        <v>1978.0619999999999</v>
      </c>
      <c r="F130" s="60"/>
      <c r="G130" s="60"/>
      <c r="H130" s="60">
        <f>(2165352/1000)</f>
        <v>2165.3519999999999</v>
      </c>
      <c r="I130" s="60">
        <f>(2165352/1000)</f>
        <v>2165.3519999999999</v>
      </c>
      <c r="J130" s="12"/>
      <c r="K130" s="12"/>
      <c r="L130" s="12"/>
    </row>
    <row r="131" spans="1:12" ht="28.15" customHeight="1" x14ac:dyDescent="0.2">
      <c r="A131" s="7" t="s">
        <v>99</v>
      </c>
      <c r="B131" s="54" t="s">
        <v>198</v>
      </c>
      <c r="C131" s="31">
        <f>1931970.33/1000</f>
        <v>1931.9703300000001</v>
      </c>
      <c r="D131" s="31">
        <f>2914514/1000</f>
        <v>2914.5140000000001</v>
      </c>
      <c r="E131" s="31">
        <f>(2948011/1000)</f>
        <v>2948.011</v>
      </c>
      <c r="F131" s="31"/>
      <c r="G131" s="31"/>
      <c r="H131" s="31">
        <f>(3065930/1000)</f>
        <v>3065.93</v>
      </c>
      <c r="I131" s="31">
        <f>(3188568/1000)</f>
        <v>3188.5680000000002</v>
      </c>
      <c r="J131" s="12"/>
      <c r="K131" s="12"/>
      <c r="L131" s="12"/>
    </row>
    <row r="132" spans="1:12" ht="40.5" customHeight="1" x14ac:dyDescent="0.2">
      <c r="A132" s="9" t="s">
        <v>97</v>
      </c>
      <c r="B132" s="49" t="s">
        <v>199</v>
      </c>
      <c r="C132" s="60"/>
      <c r="D132" s="60">
        <f>23656/1000</f>
        <v>23.655999999999999</v>
      </c>
      <c r="E132" s="60">
        <f>(20862/1000)</f>
        <v>20.861999999999998</v>
      </c>
      <c r="F132" s="60"/>
      <c r="G132" s="60"/>
      <c r="H132" s="60">
        <f>(258096/1000)</f>
        <v>258.096</v>
      </c>
      <c r="I132" s="60">
        <f>(20862/1000)</f>
        <v>20.861999999999998</v>
      </c>
      <c r="J132" s="12"/>
      <c r="K132" s="12"/>
      <c r="L132" s="12"/>
    </row>
    <row r="133" spans="1:12" ht="54.75" customHeight="1" x14ac:dyDescent="0.2">
      <c r="A133" s="7" t="s">
        <v>90</v>
      </c>
      <c r="B133" s="54" t="s">
        <v>200</v>
      </c>
      <c r="C133" s="31">
        <f>6212627.71/1000</f>
        <v>6212.6277099999998</v>
      </c>
      <c r="D133" s="31">
        <f>8415502/1000</f>
        <v>8415.5020000000004</v>
      </c>
      <c r="E133" s="31">
        <f>(8313418/1000)</f>
        <v>8313.4179999999997</v>
      </c>
      <c r="F133" s="31"/>
      <c r="G133" s="31"/>
      <c r="H133" s="31">
        <f>(8646359/1000)</f>
        <v>8646.3590000000004</v>
      </c>
      <c r="I133" s="31">
        <f>(8994433/1000)</f>
        <v>8994.4330000000009</v>
      </c>
      <c r="J133" s="12"/>
      <c r="K133" s="12"/>
      <c r="L133" s="12"/>
    </row>
    <row r="134" spans="1:12" s="101" customFormat="1" ht="31.5" customHeight="1" x14ac:dyDescent="0.2">
      <c r="A134" s="22" t="s">
        <v>278</v>
      </c>
      <c r="B134" s="99" t="s">
        <v>280</v>
      </c>
      <c r="C134" s="57">
        <f>C135</f>
        <v>23429.116000000002</v>
      </c>
      <c r="D134" s="57"/>
      <c r="E134" s="57"/>
      <c r="F134" s="57"/>
      <c r="G134" s="57"/>
      <c r="H134" s="57"/>
      <c r="I134" s="57"/>
      <c r="J134" s="100"/>
      <c r="K134" s="100"/>
      <c r="L134" s="100"/>
    </row>
    <row r="135" spans="1:12" ht="54.75" customHeight="1" x14ac:dyDescent="0.2">
      <c r="A135" s="7" t="s">
        <v>278</v>
      </c>
      <c r="B135" s="67" t="s">
        <v>279</v>
      </c>
      <c r="C135" s="60">
        <f>23429116/1000</f>
        <v>23429.116000000002</v>
      </c>
      <c r="D135" s="60"/>
      <c r="E135" s="60"/>
      <c r="F135" s="60"/>
      <c r="G135" s="60"/>
      <c r="H135" s="60"/>
      <c r="I135" s="60"/>
      <c r="J135" s="12"/>
      <c r="K135" s="12"/>
      <c r="L135" s="12"/>
    </row>
    <row r="136" spans="1:12" ht="30.75" customHeight="1" x14ac:dyDescent="0.2">
      <c r="A136" s="22" t="s">
        <v>88</v>
      </c>
      <c r="B136" s="47" t="s">
        <v>202</v>
      </c>
      <c r="C136" s="59">
        <f>SUM(C137:C149)</f>
        <v>645957.23942</v>
      </c>
      <c r="D136" s="59">
        <f>SUM(D137:D149)</f>
        <v>786502.25219999987</v>
      </c>
      <c r="E136" s="63">
        <f>SUM(E137:E149)</f>
        <v>867920.2585900001</v>
      </c>
      <c r="F136" s="59"/>
      <c r="G136" s="59"/>
      <c r="H136" s="63">
        <f>SUM(H137:H149)</f>
        <v>925430.18060000008</v>
      </c>
      <c r="I136" s="63">
        <f>SUM(I137:I149)</f>
        <v>1005637.9917700002</v>
      </c>
      <c r="J136" s="12"/>
      <c r="K136" s="12"/>
      <c r="L136" s="12"/>
    </row>
    <row r="137" spans="1:12" ht="36" customHeight="1" x14ac:dyDescent="0.2">
      <c r="A137" s="7"/>
      <c r="B137" s="67" t="s">
        <v>95</v>
      </c>
      <c r="C137" s="60">
        <f>(1065644.16+18126013.12+3005424)/1000</f>
        <v>22197.081280000002</v>
      </c>
      <c r="D137" s="60">
        <f>11059179.87/1000</f>
        <v>11059.17987</v>
      </c>
      <c r="E137" s="60">
        <f>(53577450.24/1000)</f>
        <v>53577.450240000006</v>
      </c>
      <c r="F137" s="60"/>
      <c r="G137" s="60"/>
      <c r="H137" s="60">
        <f>(15715164.24/1000)</f>
        <v>15715.16424</v>
      </c>
      <c r="I137" s="60">
        <f>(15715164.24/1000)</f>
        <v>15715.16424</v>
      </c>
      <c r="J137" s="12"/>
      <c r="K137" s="12"/>
      <c r="L137" s="12"/>
    </row>
    <row r="138" spans="1:12" ht="89.25" x14ac:dyDescent="0.2">
      <c r="A138" s="7"/>
      <c r="B138" s="49" t="s">
        <v>87</v>
      </c>
      <c r="C138" s="60"/>
      <c r="D138" s="60">
        <f>58451/1000</f>
        <v>58.451000000000001</v>
      </c>
      <c r="E138" s="60">
        <f>(95460/1000)</f>
        <v>95.46</v>
      </c>
      <c r="F138" s="60"/>
      <c r="G138" s="60"/>
      <c r="H138" s="60">
        <f>(101474/1000)</f>
        <v>101.474</v>
      </c>
      <c r="I138" s="60">
        <f>(107867/1000)</f>
        <v>107.867</v>
      </c>
      <c r="J138" s="12"/>
      <c r="K138" s="12"/>
      <c r="L138" s="12"/>
    </row>
    <row r="139" spans="1:12" ht="25.5" x14ac:dyDescent="0.2">
      <c r="A139" s="7"/>
      <c r="B139" s="49" t="s">
        <v>67</v>
      </c>
      <c r="C139" s="60">
        <f>888628/1000</f>
        <v>888.62800000000004</v>
      </c>
      <c r="D139" s="60">
        <f>1208033/1000</f>
        <v>1208.0329999999999</v>
      </c>
      <c r="E139" s="60">
        <f>(1219463/1000)</f>
        <v>1219.463</v>
      </c>
      <c r="F139" s="60"/>
      <c r="G139" s="60"/>
      <c r="H139" s="60">
        <f>(1265642/1000)</f>
        <v>1265.6420000000001</v>
      </c>
      <c r="I139" s="60">
        <f>(1313668/1000)</f>
        <v>1313.6679999999999</v>
      </c>
      <c r="J139" s="12"/>
      <c r="K139" s="12"/>
      <c r="L139" s="12"/>
    </row>
    <row r="140" spans="1:12" ht="38.25" x14ac:dyDescent="0.2">
      <c r="A140" s="7"/>
      <c r="B140" s="49" t="s">
        <v>68</v>
      </c>
      <c r="C140" s="60">
        <f>41.12/1000</f>
        <v>4.1119999999999997E-2</v>
      </c>
      <c r="D140" s="60">
        <f>38.84/1000</f>
        <v>3.8840000000000006E-2</v>
      </c>
      <c r="E140" s="60">
        <f>(40.39/1000)</f>
        <v>4.0390000000000002E-2</v>
      </c>
      <c r="F140" s="60"/>
      <c r="G140" s="60"/>
      <c r="H140" s="60">
        <f>(42/1000)</f>
        <v>4.2000000000000003E-2</v>
      </c>
      <c r="I140" s="60">
        <f>(43.68/1000)</f>
        <v>4.3679999999999997E-2</v>
      </c>
      <c r="J140" s="12"/>
      <c r="K140" s="12"/>
      <c r="L140" s="12"/>
    </row>
    <row r="141" spans="1:12" ht="39.6" customHeight="1" x14ac:dyDescent="0.2">
      <c r="A141" s="7"/>
      <c r="B141" s="67" t="s">
        <v>204</v>
      </c>
      <c r="C141" s="60"/>
      <c r="D141" s="60">
        <f>2689160.25/1000</f>
        <v>2689.1602499999999</v>
      </c>
      <c r="E141" s="60">
        <f>(2689160.25/1000)</f>
        <v>2689.1602499999999</v>
      </c>
      <c r="F141" s="60"/>
      <c r="G141" s="60"/>
      <c r="H141" s="60">
        <f t="shared" ref="H141:I141" si="86">(2689160.25/1000)</f>
        <v>2689.1602499999999</v>
      </c>
      <c r="I141" s="60">
        <f t="shared" si="86"/>
        <v>2689.1602499999999</v>
      </c>
      <c r="J141" s="12"/>
      <c r="K141" s="12"/>
      <c r="L141" s="12"/>
    </row>
    <row r="142" spans="1:12" ht="47.25" customHeight="1" x14ac:dyDescent="0.2">
      <c r="A142" s="7"/>
      <c r="B142" s="67" t="s">
        <v>205</v>
      </c>
      <c r="C142" s="60">
        <f>369455622.25/1000</f>
        <v>369455.62225000001</v>
      </c>
      <c r="D142" s="60">
        <f>497201561/1000</f>
        <v>497201.56099999999</v>
      </c>
      <c r="E142" s="60">
        <f>(513202766/1000)</f>
        <v>513202.766</v>
      </c>
      <c r="F142" s="60"/>
      <c r="G142" s="60"/>
      <c r="H142" s="60">
        <f>(581286445/1000)</f>
        <v>581286.44499999995</v>
      </c>
      <c r="I142" s="60">
        <f>635124577/1000</f>
        <v>635124.57700000005</v>
      </c>
      <c r="J142" s="12"/>
      <c r="K142" s="12"/>
      <c r="L142" s="12"/>
    </row>
    <row r="143" spans="1:12" ht="38.25" x14ac:dyDescent="0.2">
      <c r="A143" s="7"/>
      <c r="B143" s="67" t="s">
        <v>85</v>
      </c>
      <c r="C143" s="60">
        <f>25709426.32/1000</f>
        <v>25709.426319999999</v>
      </c>
      <c r="D143" s="60">
        <f>28958081.16/1000</f>
        <v>28958.081160000002</v>
      </c>
      <c r="E143" s="60">
        <f>(35130906.28/1000)</f>
        <v>35130.906280000003</v>
      </c>
      <c r="F143" s="60"/>
      <c r="G143" s="60"/>
      <c r="H143" s="60">
        <f>(37511687.03/1000)</f>
        <v>37511.687030000001</v>
      </c>
      <c r="I143" s="60">
        <f>(39482430.52/1000)</f>
        <v>39482.430520000002</v>
      </c>
      <c r="J143" s="12"/>
      <c r="K143" s="12"/>
      <c r="L143" s="12"/>
    </row>
    <row r="144" spans="1:12" ht="25.5" x14ac:dyDescent="0.2">
      <c r="A144" s="7"/>
      <c r="B144" s="67" t="s">
        <v>86</v>
      </c>
      <c r="C144" s="60">
        <f>3127966/1000</f>
        <v>3127.9659999999999</v>
      </c>
      <c r="D144" s="60">
        <f>3874325/1000</f>
        <v>3874.3249999999998</v>
      </c>
      <c r="E144" s="60">
        <f>(3910705/1000)</f>
        <v>3910.7049999999999</v>
      </c>
      <c r="F144" s="60"/>
      <c r="G144" s="60"/>
      <c r="H144" s="60">
        <f>(4057677/1000)</f>
        <v>4057.6770000000001</v>
      </c>
      <c r="I144" s="60">
        <f>(4210528/1000)</f>
        <v>4210.5280000000002</v>
      </c>
      <c r="J144" s="12"/>
      <c r="K144" s="12"/>
      <c r="L144" s="12"/>
    </row>
    <row r="145" spans="1:12" ht="38.25" x14ac:dyDescent="0.2">
      <c r="A145" s="7"/>
      <c r="B145" s="67" t="s">
        <v>69</v>
      </c>
      <c r="C145" s="60">
        <f>9232452.54/1000</f>
        <v>9232.4525399999984</v>
      </c>
      <c r="D145" s="60">
        <f>10302000/1000</f>
        <v>10302</v>
      </c>
      <c r="E145" s="60">
        <f>(12195800/1000)</f>
        <v>12195.8</v>
      </c>
      <c r="F145" s="60"/>
      <c r="G145" s="60"/>
      <c r="H145" s="60">
        <f t="shared" ref="H145:I145" si="87">(12195800/1000)</f>
        <v>12195.8</v>
      </c>
      <c r="I145" s="60">
        <f t="shared" si="87"/>
        <v>12195.8</v>
      </c>
      <c r="J145" s="12"/>
      <c r="K145" s="12"/>
      <c r="L145" s="12"/>
    </row>
    <row r="146" spans="1:12" ht="38.25" x14ac:dyDescent="0.2">
      <c r="A146" s="7"/>
      <c r="B146" s="54" t="s">
        <v>70</v>
      </c>
      <c r="C146" s="31">
        <f>4193827.47/1000</f>
        <v>4193.8274700000002</v>
      </c>
      <c r="D146" s="31">
        <f>4913320/1000</f>
        <v>4913.32</v>
      </c>
      <c r="E146" s="60">
        <f>(6994075.35/1000)</f>
        <v>6994.0753500000001</v>
      </c>
      <c r="F146" s="31"/>
      <c r="G146" s="31"/>
      <c r="H146" s="60">
        <f>(4818960/1000)</f>
        <v>4818.96</v>
      </c>
      <c r="I146" s="60">
        <f>(4818960/1000)</f>
        <v>4818.96</v>
      </c>
      <c r="J146" s="12"/>
      <c r="K146" s="12"/>
      <c r="L146" s="12"/>
    </row>
    <row r="147" spans="1:12" ht="38.25" x14ac:dyDescent="0.2">
      <c r="A147" s="7"/>
      <c r="B147" s="67" t="s">
        <v>71</v>
      </c>
      <c r="C147" s="60">
        <f>205533428.13/1000</f>
        <v>205533.42812999999</v>
      </c>
      <c r="D147" s="60">
        <f>220139715/1000</f>
        <v>220139.715</v>
      </c>
      <c r="E147" s="60">
        <f>(235281045/1000)</f>
        <v>235281.04500000001</v>
      </c>
      <c r="F147" s="60"/>
      <c r="G147" s="60"/>
      <c r="H147" s="60">
        <f>(265784742/1000)</f>
        <v>265784.74200000003</v>
      </c>
      <c r="I147" s="60">
        <f>(289976406/1000)</f>
        <v>289976.40600000002</v>
      </c>
      <c r="J147" s="12"/>
      <c r="K147" s="12"/>
      <c r="L147" s="12"/>
    </row>
    <row r="148" spans="1:12" ht="38.25" x14ac:dyDescent="0.2">
      <c r="A148" s="7"/>
      <c r="B148" s="67" t="s">
        <v>100</v>
      </c>
      <c r="C148" s="60">
        <f>3387.08/1000</f>
        <v>3.3870800000000001</v>
      </c>
      <c r="D148" s="60">
        <f>3387.08/1000</f>
        <v>3.3870800000000001</v>
      </c>
      <c r="E148" s="60">
        <f>(3387.08/1000)</f>
        <v>3.3870800000000001</v>
      </c>
      <c r="F148" s="60"/>
      <c r="G148" s="60"/>
      <c r="H148" s="60">
        <f t="shared" ref="H148:I148" si="88">(3387.08/1000)</f>
        <v>3.3870800000000001</v>
      </c>
      <c r="I148" s="60">
        <f t="shared" si="88"/>
        <v>3.3870800000000001</v>
      </c>
      <c r="J148" s="12"/>
      <c r="K148" s="12"/>
      <c r="L148" s="12"/>
    </row>
    <row r="149" spans="1:12" ht="38.25" x14ac:dyDescent="0.2">
      <c r="A149" s="7"/>
      <c r="B149" s="67" t="s">
        <v>84</v>
      </c>
      <c r="C149" s="60">
        <f>5615379.23/1000</f>
        <v>5615.3792300000005</v>
      </c>
      <c r="D149" s="60">
        <f>6095000/1000</f>
        <v>6095</v>
      </c>
      <c r="E149" s="60">
        <f>(3620000/1000)</f>
        <v>3620</v>
      </c>
      <c r="F149" s="60"/>
      <c r="G149" s="60"/>
      <c r="H149" s="60">
        <f>(0/1000)</f>
        <v>0</v>
      </c>
      <c r="I149" s="60">
        <f>(0/1000)</f>
        <v>0</v>
      </c>
      <c r="J149" s="12"/>
      <c r="K149" s="12"/>
      <c r="L149" s="12"/>
    </row>
    <row r="150" spans="1:12" s="74" customFormat="1" ht="12.75" x14ac:dyDescent="0.2">
      <c r="A150" s="25" t="s">
        <v>257</v>
      </c>
      <c r="B150" s="55" t="s">
        <v>258</v>
      </c>
      <c r="C150" s="59">
        <f>C151</f>
        <v>544.90200000000004</v>
      </c>
      <c r="D150" s="59"/>
      <c r="E150" s="59"/>
      <c r="F150" s="59"/>
      <c r="G150" s="59"/>
      <c r="H150" s="59"/>
      <c r="I150" s="59"/>
      <c r="J150" s="73"/>
      <c r="K150" s="73"/>
      <c r="L150" s="73"/>
    </row>
    <row r="151" spans="1:12" ht="25.5" x14ac:dyDescent="0.2">
      <c r="A151" s="7"/>
      <c r="B151" s="54" t="s">
        <v>276</v>
      </c>
      <c r="C151" s="31">
        <f>544902/1000</f>
        <v>544.90200000000004</v>
      </c>
      <c r="D151" s="31"/>
      <c r="E151" s="31"/>
      <c r="F151" s="31"/>
      <c r="G151" s="31"/>
      <c r="H151" s="31"/>
      <c r="I151" s="31"/>
      <c r="J151" s="12"/>
      <c r="K151" s="12"/>
      <c r="L151" s="12"/>
    </row>
    <row r="152" spans="1:12" ht="22.5" customHeight="1" x14ac:dyDescent="0.2">
      <c r="A152" s="25" t="s">
        <v>101</v>
      </c>
      <c r="B152" s="55" t="s">
        <v>201</v>
      </c>
      <c r="C152" s="59"/>
      <c r="D152" s="59">
        <f>D153</f>
        <v>1132.162</v>
      </c>
      <c r="E152" s="59">
        <f>SUM(E153)</f>
        <v>1143.002</v>
      </c>
      <c r="F152" s="59"/>
      <c r="G152" s="59"/>
      <c r="H152" s="59">
        <f t="shared" ref="H152:I152" si="89">SUM(H153)</f>
        <v>1186.797</v>
      </c>
      <c r="I152" s="59">
        <f t="shared" si="89"/>
        <v>1232.3440000000001</v>
      </c>
      <c r="J152" s="12"/>
      <c r="K152" s="12"/>
      <c r="L152" s="12"/>
    </row>
    <row r="153" spans="1:12" ht="38.25" x14ac:dyDescent="0.2">
      <c r="A153" s="21"/>
      <c r="B153" s="49" t="s">
        <v>203</v>
      </c>
      <c r="C153" s="60"/>
      <c r="D153" s="60">
        <f>1132162/1000</f>
        <v>1132.162</v>
      </c>
      <c r="E153" s="60">
        <f>(1143002/1000)</f>
        <v>1143.002</v>
      </c>
      <c r="F153" s="60"/>
      <c r="G153" s="60"/>
      <c r="H153" s="60">
        <f>(1186797/1000)</f>
        <v>1186.797</v>
      </c>
      <c r="I153" s="60">
        <f>(1232344/1000)</f>
        <v>1232.3440000000001</v>
      </c>
      <c r="J153" s="12"/>
      <c r="K153" s="12"/>
      <c r="L153" s="12"/>
    </row>
    <row r="154" spans="1:12" ht="22.9" customHeight="1" x14ac:dyDescent="0.2">
      <c r="A154" s="37" t="s">
        <v>72</v>
      </c>
      <c r="B154" s="23" t="s">
        <v>73</v>
      </c>
      <c r="C154" s="61">
        <f>SUM(C155:C158)</f>
        <v>25314.25794</v>
      </c>
      <c r="D154" s="61">
        <f>SUM(D155:D158)</f>
        <v>43748.262000000002</v>
      </c>
      <c r="E154" s="61">
        <f>SUM(E155:E158)</f>
        <v>44274.9496</v>
      </c>
      <c r="F154" s="61"/>
      <c r="G154" s="61"/>
      <c r="H154" s="61">
        <f>SUM(H155:H158)</f>
        <v>45790.284959999997</v>
      </c>
      <c r="I154" s="61">
        <f>SUM(I155:I158)</f>
        <v>45790.284959999997</v>
      </c>
      <c r="J154" s="12"/>
      <c r="K154" s="12">
        <f t="shared" ref="K154:L154" si="90">K155+K156+K157+K158</f>
        <v>0</v>
      </c>
      <c r="L154" s="12">
        <f t="shared" si="90"/>
        <v>0</v>
      </c>
    </row>
    <row r="155" spans="1:12" ht="79.900000000000006" customHeight="1" x14ac:dyDescent="0.2">
      <c r="A155" s="9" t="s">
        <v>93</v>
      </c>
      <c r="B155" s="49" t="s">
        <v>206</v>
      </c>
      <c r="C155" s="60">
        <f>24619899.49/1000</f>
        <v>24619.89949</v>
      </c>
      <c r="D155" s="60">
        <f>34281000/1000</f>
        <v>34281</v>
      </c>
      <c r="E155" s="60">
        <f>(40716000/1000)</f>
        <v>40716</v>
      </c>
      <c r="F155" s="60"/>
      <c r="G155" s="60"/>
      <c r="H155" s="60">
        <f t="shared" ref="H155:I155" si="91">(40716000/1000)</f>
        <v>40716</v>
      </c>
      <c r="I155" s="60">
        <f t="shared" si="91"/>
        <v>40716</v>
      </c>
      <c r="J155" s="12"/>
      <c r="K155" s="12"/>
      <c r="L155" s="12"/>
    </row>
    <row r="156" spans="1:12" ht="51" customHeight="1" x14ac:dyDescent="0.2">
      <c r="A156" s="9" t="s">
        <v>92</v>
      </c>
      <c r="B156" s="49" t="s">
        <v>207</v>
      </c>
      <c r="C156" s="60">
        <f>694358.45/1000</f>
        <v>694.35844999999995</v>
      </c>
      <c r="D156" s="60">
        <f>2498949.6/1000</f>
        <v>2498.9495999999999</v>
      </c>
      <c r="E156" s="60">
        <f>(2498949.6/1000)</f>
        <v>2498.9495999999999</v>
      </c>
      <c r="F156" s="60"/>
      <c r="G156" s="60"/>
      <c r="H156" s="60">
        <f>(4823445.9+250839.06)/1000</f>
        <v>5074.28496</v>
      </c>
      <c r="I156" s="60">
        <f>(4823445.9+250839.06)/1000</f>
        <v>5074.28496</v>
      </c>
      <c r="J156" s="12"/>
      <c r="K156" s="12"/>
      <c r="L156" s="12"/>
    </row>
    <row r="157" spans="1:12" ht="67.150000000000006" hidden="1" customHeight="1" x14ac:dyDescent="0.2">
      <c r="A157" s="9" t="s">
        <v>229</v>
      </c>
      <c r="B157" s="49" t="s">
        <v>228</v>
      </c>
      <c r="C157" s="60"/>
      <c r="D157" s="60"/>
      <c r="E157" s="60">
        <v>0</v>
      </c>
      <c r="F157" s="60"/>
      <c r="G157" s="60"/>
      <c r="H157" s="60">
        <v>0</v>
      </c>
      <c r="I157" s="60">
        <v>0</v>
      </c>
      <c r="J157" s="12"/>
      <c r="K157" s="12"/>
      <c r="L157" s="12"/>
    </row>
    <row r="158" spans="1:12" ht="27" customHeight="1" x14ac:dyDescent="0.2">
      <c r="A158" s="9" t="s">
        <v>222</v>
      </c>
      <c r="B158" s="49" t="s">
        <v>235</v>
      </c>
      <c r="C158" s="60"/>
      <c r="D158" s="60">
        <f>6968312.4/1000</f>
        <v>6968.3124000000007</v>
      </c>
      <c r="E158" s="60">
        <f>(1060000/1000)</f>
        <v>1060</v>
      </c>
      <c r="F158" s="60"/>
      <c r="G158" s="60"/>
      <c r="H158" s="60">
        <f>(0/1000)</f>
        <v>0</v>
      </c>
      <c r="I158" s="60">
        <f>(0/1000)</f>
        <v>0</v>
      </c>
      <c r="J158" s="12"/>
      <c r="K158" s="12"/>
      <c r="L158" s="12"/>
    </row>
    <row r="159" spans="1:12" s="74" customFormat="1" ht="22.5" customHeight="1" x14ac:dyDescent="0.2">
      <c r="A159" s="32" t="s">
        <v>218</v>
      </c>
      <c r="B159" s="24" t="s">
        <v>219</v>
      </c>
      <c r="C159" s="57">
        <f>C160</f>
        <v>70.296000000000006</v>
      </c>
      <c r="D159" s="57">
        <v>150</v>
      </c>
      <c r="E159" s="57">
        <f>(0/1000)</f>
        <v>0</v>
      </c>
      <c r="F159" s="57"/>
      <c r="G159" s="57"/>
      <c r="H159" s="57">
        <f t="shared" ref="H159:I159" si="92">(0/1000)</f>
        <v>0</v>
      </c>
      <c r="I159" s="57">
        <f t="shared" si="92"/>
        <v>0</v>
      </c>
      <c r="J159" s="73"/>
      <c r="K159" s="73"/>
      <c r="L159" s="73"/>
    </row>
    <row r="160" spans="1:12" s="76" customFormat="1" ht="22.5" customHeight="1" x14ac:dyDescent="0.2">
      <c r="A160" s="72" t="s">
        <v>263</v>
      </c>
      <c r="B160" s="24" t="s">
        <v>259</v>
      </c>
      <c r="C160" s="57">
        <f>70296/1000</f>
        <v>70.296000000000006</v>
      </c>
      <c r="D160" s="57"/>
      <c r="E160" s="57"/>
      <c r="F160" s="57"/>
      <c r="G160" s="57"/>
      <c r="H160" s="57"/>
      <c r="I160" s="57"/>
      <c r="J160" s="75"/>
      <c r="K160" s="75"/>
      <c r="L160" s="75"/>
    </row>
    <row r="161" spans="1:12" s="74" customFormat="1" ht="22.5" customHeight="1" x14ac:dyDescent="0.2">
      <c r="A161" s="72" t="s">
        <v>262</v>
      </c>
      <c r="B161" s="24" t="s">
        <v>264</v>
      </c>
      <c r="C161" s="59">
        <f>C162</f>
        <v>-116.88</v>
      </c>
      <c r="D161" s="57"/>
      <c r="E161" s="57"/>
      <c r="F161" s="57"/>
      <c r="G161" s="57"/>
      <c r="H161" s="57"/>
      <c r="I161" s="57"/>
      <c r="J161" s="73"/>
      <c r="K161" s="73"/>
      <c r="L161" s="73"/>
    </row>
    <row r="162" spans="1:12" ht="22.5" customHeight="1" x14ac:dyDescent="0.2">
      <c r="A162" s="71" t="s">
        <v>261</v>
      </c>
      <c r="B162" s="49" t="s">
        <v>260</v>
      </c>
      <c r="C162" s="60">
        <f>-116880/1000</f>
        <v>-116.88</v>
      </c>
      <c r="D162" s="62"/>
      <c r="E162" s="62"/>
      <c r="F162" s="62"/>
      <c r="G162" s="62"/>
      <c r="H162" s="62"/>
      <c r="I162" s="62"/>
      <c r="J162" s="12"/>
      <c r="K162" s="12"/>
      <c r="L162" s="12"/>
    </row>
    <row r="163" spans="1:12" ht="18.75" customHeight="1" x14ac:dyDescent="0.2">
      <c r="A163" s="38"/>
      <c r="B163" s="39" t="s">
        <v>190</v>
      </c>
      <c r="C163" s="64">
        <f>C9+C84</f>
        <v>1624171.52256</v>
      </c>
      <c r="D163" s="64">
        <f>D9+D84</f>
        <v>1793546.1790299998</v>
      </c>
      <c r="E163" s="64">
        <f t="shared" ref="E163" si="93">E9+E84</f>
        <v>1940905.1543999999</v>
      </c>
      <c r="F163" s="64"/>
      <c r="G163" s="64"/>
      <c r="H163" s="64">
        <f>H9+H84</f>
        <v>1846130.5882999999</v>
      </c>
      <c r="I163" s="64">
        <f>I9+I84</f>
        <v>1963187.3809300005</v>
      </c>
      <c r="J163" s="12"/>
      <c r="K163" s="12">
        <f>K9+K84</f>
        <v>0</v>
      </c>
      <c r="L163" s="12">
        <f>L9+L84</f>
        <v>0</v>
      </c>
    </row>
  </sheetData>
  <sheetProtection selectLockedCells="1" selectUnlockedCells="1"/>
  <mergeCells count="11">
    <mergeCell ref="B3:H3"/>
    <mergeCell ref="A4:I4"/>
    <mergeCell ref="C6:C7"/>
    <mergeCell ref="D6:D7"/>
    <mergeCell ref="E6:E7"/>
    <mergeCell ref="F6:F7"/>
    <mergeCell ref="G6:G7"/>
    <mergeCell ref="A6:A7"/>
    <mergeCell ref="B6:B7"/>
    <mergeCell ref="H6:H7"/>
    <mergeCell ref="I6:I7"/>
  </mergeCells>
  <phoneticPr fontId="3" type="noConversion"/>
  <pageMargins left="0.59055118110236227" right="0.59055118110236227" top="0.43307086614173229" bottom="0.55118110236220474" header="0" footer="0"/>
  <pageSetup paperSize="9" scale="63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Евченко</dc:creator>
  <cp:lastModifiedBy>Admin</cp:lastModifiedBy>
  <cp:revision>5</cp:revision>
  <cp:lastPrinted>2024-07-01T07:10:23Z</cp:lastPrinted>
  <dcterms:created xsi:type="dcterms:W3CDTF">1601-01-01T00:00:00Z</dcterms:created>
  <dcterms:modified xsi:type="dcterms:W3CDTF">2024-11-14T02:46:36Z</dcterms:modified>
</cp:coreProperties>
</file>